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740" windowWidth="23010" windowHeight="4785" tabRatio="696"/>
  </bookViews>
  <sheets>
    <sheet name="Portata di piena" sheetId="3" r:id="rId1"/>
  </sheets>
  <definedNames>
    <definedName name="_xlnm.Print_Area" localSheetId="0">'Portata di piena'!$B$1:$N$70</definedName>
  </definedNames>
  <calcPr calcId="125725"/>
</workbook>
</file>

<file path=xl/calcChain.xml><?xml version="1.0" encoding="utf-8"?>
<calcChain xmlns="http://schemas.openxmlformats.org/spreadsheetml/2006/main">
  <c r="K11" i="3"/>
  <c r="K38" s="1"/>
  <c r="K16"/>
  <c r="K21" s="1"/>
  <c r="K37" s="1"/>
  <c r="K22"/>
  <c r="K39" s="1"/>
  <c r="K23"/>
  <c r="K41" s="1"/>
  <c r="K44"/>
  <c r="K45"/>
  <c r="H61"/>
  <c r="K61" s="1"/>
  <c r="H60"/>
  <c r="K60" s="1"/>
  <c r="H59"/>
  <c r="K59" s="1"/>
  <c r="H58"/>
  <c r="K58" s="1"/>
  <c r="H57"/>
  <c r="K57" s="1"/>
  <c r="H56"/>
  <c r="K56" s="1"/>
  <c r="H55"/>
  <c r="K55" s="1"/>
  <c r="H54"/>
  <c r="K54" s="1"/>
  <c r="J55"/>
  <c r="K20"/>
  <c r="K40" l="1"/>
  <c r="K42"/>
  <c r="I61"/>
  <c r="I59"/>
  <c r="I55"/>
  <c r="J61"/>
  <c r="T41"/>
  <c r="T43" s="1"/>
  <c r="K31" s="1"/>
  <c r="K36"/>
  <c r="I57"/>
  <c r="J59"/>
  <c r="J57"/>
  <c r="I54"/>
  <c r="I56"/>
  <c r="I58"/>
  <c r="I60"/>
  <c r="J54"/>
  <c r="J56"/>
  <c r="J58"/>
  <c r="J60"/>
  <c r="K43"/>
  <c r="K47" l="1"/>
  <c r="K51" s="1"/>
  <c r="H65" s="1"/>
  <c r="K50"/>
  <c r="K49"/>
  <c r="K48"/>
  <c r="H64" l="1"/>
  <c r="K64" s="1"/>
  <c r="H62"/>
  <c r="E67" s="1"/>
  <c r="H63"/>
  <c r="K67" s="1"/>
  <c r="K65"/>
  <c r="K70"/>
  <c r="K68"/>
  <c r="I65"/>
  <c r="K69"/>
  <c r="J65"/>
  <c r="K63" l="1"/>
  <c r="J63"/>
  <c r="I63"/>
  <c r="J62"/>
  <c r="J64"/>
  <c r="E69"/>
  <c r="I64"/>
  <c r="K62"/>
  <c r="I62"/>
  <c r="E68"/>
  <c r="E70"/>
</calcChain>
</file>

<file path=xl/comments1.xml><?xml version="1.0" encoding="utf-8"?>
<comments xmlns="http://schemas.openxmlformats.org/spreadsheetml/2006/main">
  <authors>
    <author>xxxx</author>
  </authors>
  <commentList>
    <comment ref="B25" authorId="0">
      <text>
        <r>
          <rPr>
            <sz val="8"/>
            <color indexed="81"/>
            <rFont val="Tahoma"/>
          </rPr>
          <t xml:space="preserve">Per bacini collinari e montani il valore della precipitazione h non deve mai essere inferiore ad 1 m.
</t>
        </r>
      </text>
    </comment>
    <comment ref="B26" authorId="0">
      <text>
        <r>
          <rPr>
            <sz val="8"/>
            <color indexed="81"/>
            <rFont val="Tahoma"/>
          </rPr>
          <t>Parametro il cui valore dipende dalle caratteristiche pluviometriche dell'area. 
Sulla curva bilogaritmica di possibilità pluviometrica corrisponde al coefficiente numerico</t>
        </r>
      </text>
    </comment>
    <comment ref="B27" authorId="0">
      <text>
        <r>
          <rPr>
            <sz val="8"/>
            <color indexed="81"/>
            <rFont val="Tahoma"/>
          </rPr>
          <t>Parametro il cui valore dipende dalle caratteristiche pluviometriche dell'area. Sulla curva bilogaritmica di possibilità pluviometrica corrisponde al coefficiente angolare della retta di compendo.</t>
        </r>
      </text>
    </comment>
    <comment ref="B29" authorId="0">
      <text>
        <r>
          <rPr>
            <sz val="8"/>
            <color indexed="81"/>
            <rFont val="Tahoma"/>
          </rPr>
          <t>Coefficiente "m" che tiene conto della velocità di deflusso dell'acqua. Valore compres da 1 a 10. Medio 5</t>
        </r>
      </text>
    </comment>
    <comment ref="B30" authorId="0">
      <text>
        <r>
          <rPr>
            <sz val="8"/>
            <color indexed="81"/>
            <rFont val="Tahoma"/>
          </rPr>
          <t xml:space="preserve">Coefficiente "k" dche dall'altitudine del bacino. Valore compreso da 1 a 5. </t>
        </r>
      </text>
    </comment>
    <comment ref="B55" authorId="0">
      <text>
        <r>
          <rPr>
            <sz val="8"/>
            <color indexed="81"/>
            <rFont val="Tahoma"/>
            <family val="2"/>
          </rPr>
          <t>Valida per bacini di estensione inferiore  a 1000 km</t>
        </r>
        <r>
          <rPr>
            <vertAlign val="superscript"/>
            <sz val="8"/>
            <color indexed="81"/>
            <rFont val="Tahoma"/>
            <family val="2"/>
          </rPr>
          <t>2</t>
        </r>
      </text>
    </comment>
    <comment ref="B56" authorId="0">
      <text>
        <r>
          <rPr>
            <sz val="8"/>
            <color indexed="81"/>
            <rFont val="Tahoma"/>
            <family val="2"/>
          </rPr>
          <t>Valida per bacini aventi un'estensione compresa tra 20 e 1000 km</t>
        </r>
        <r>
          <rPr>
            <vertAlign val="super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
</t>
        </r>
      </text>
    </comment>
    <comment ref="B57" authorId="0">
      <text>
        <r>
          <rPr>
            <sz val="8"/>
            <color indexed="81"/>
            <rFont val="Tahoma"/>
          </rPr>
          <t>Valida per bacini caratterizzati montani di estensione non superiore a 1000 km</t>
        </r>
        <r>
          <rPr>
            <vertAlign val="superscript"/>
            <sz val="8"/>
            <color indexed="81"/>
            <rFont val="Tahoma"/>
            <family val="2"/>
          </rPr>
          <t xml:space="preserve">2 </t>
        </r>
        <r>
          <rPr>
            <sz val="8"/>
            <color indexed="81"/>
            <rFont val="Tahoma"/>
          </rPr>
          <t xml:space="preserve">e caratterizzati da valori della massima precipitazione giornaliera pari a 200÷250 mm 
</t>
        </r>
      </text>
    </comment>
    <comment ref="B58" authorId="0">
      <text>
        <r>
          <rPr>
            <sz val="8"/>
            <color indexed="81"/>
            <rFont val="Tahoma"/>
            <family val="2"/>
          </rPr>
          <t>Valida per bacini caratterizzati montani di estensione non superiore a 1000 km</t>
        </r>
        <r>
          <rPr>
            <vertAlign val="super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 xml:space="preserve"> e caratterizzati da valori della massima precipitazione giornaliera pari a circa 400 mm 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<sst xmlns="http://schemas.openxmlformats.org/spreadsheetml/2006/main" count="100" uniqueCount="81">
  <si>
    <t>PARAMETRI DI INGRESSO</t>
  </si>
  <si>
    <t>Pendenza media dei versanti (o del bacino)</t>
  </si>
  <si>
    <t>Quota massima del bacino idrologico (m)</t>
  </si>
  <si>
    <t>Quota minima del bacino idrologico (m)</t>
  </si>
  <si>
    <t>Quota media del bacino idrologico (m)</t>
  </si>
  <si>
    <t>Quota massima dell'asta principale (m)</t>
  </si>
  <si>
    <t>Quota minima dell'asta principale (m)</t>
  </si>
  <si>
    <t>Quota della sezione di chiusura (m)</t>
  </si>
  <si>
    <t>Quota media rispetto alla sezione di chiusura (m)</t>
  </si>
  <si>
    <t>Altezza media relativa rispetto alla sezione di chiusura (m)</t>
  </si>
  <si>
    <t>Dislivello dell'asta principale (m)</t>
  </si>
  <si>
    <t>Dislivello tra la quota massima e minima del bacino (m)</t>
  </si>
  <si>
    <t>Precipitazione media annua sul bacino (m)</t>
  </si>
  <si>
    <t>Coefficiente a</t>
  </si>
  <si>
    <t>Coefficiente n</t>
  </si>
  <si>
    <t>Coefficiente m di Iskowski</t>
  </si>
  <si>
    <t>Coefficiente k di Iskowski</t>
  </si>
  <si>
    <t>Formula di Pasini</t>
  </si>
  <si>
    <t>Formula di Giandotti</t>
  </si>
  <si>
    <t>Formula di Alvord-Horton</t>
  </si>
  <si>
    <t>Formula di Puglisi e Zanframundo</t>
  </si>
  <si>
    <t>Formula di Kirpich</t>
  </si>
  <si>
    <t>Formula di Tournon</t>
  </si>
  <si>
    <t>Formula di Ventura</t>
  </si>
  <si>
    <t>Analisi Statistica del tempo di corrivazione</t>
  </si>
  <si>
    <t>Valore medio</t>
  </si>
  <si>
    <t>Dev. standard (0&lt;Dev. St.&lt;Inf.)</t>
  </si>
  <si>
    <t>Valore minimo</t>
  </si>
  <si>
    <t>Valore massimo</t>
  </si>
  <si>
    <t>Altezza critica di precipitazione (mm)</t>
  </si>
  <si>
    <t>Formula di Sordo</t>
  </si>
  <si>
    <t xml:space="preserve">Formula di Scimeni </t>
  </si>
  <si>
    <t>Formula di Pagliaro</t>
  </si>
  <si>
    <t>Formula di Forti</t>
  </si>
  <si>
    <t>Formula di Iskowski</t>
  </si>
  <si>
    <t>SEMI ANALITICO</t>
  </si>
  <si>
    <t>Formula F.A.O.</t>
  </si>
  <si>
    <t>ANALITICO</t>
  </si>
  <si>
    <t>Valore medio assoluto</t>
  </si>
  <si>
    <t>Pendenza media dell'asta principale</t>
  </si>
  <si>
    <t>EMPIRICO</t>
  </si>
  <si>
    <t>Valore medio ponderato</t>
  </si>
  <si>
    <t xml:space="preserve">Formula di Merlo </t>
  </si>
  <si>
    <t xml:space="preserve">Formula di Turazza </t>
  </si>
  <si>
    <t>Formula Razionale</t>
  </si>
  <si>
    <t>Lunghezza dell'asta principale di progetto (km)</t>
  </si>
  <si>
    <t>Formula di Whistler</t>
  </si>
  <si>
    <t>Formula di Ogrosky-Mocus</t>
  </si>
  <si>
    <t>Formula di Viparelli</t>
  </si>
  <si>
    <t>range</t>
  </si>
  <si>
    <t>Formula Genio Civile</t>
  </si>
  <si>
    <t>Tr = 100</t>
  </si>
  <si>
    <t>Tr = 200</t>
  </si>
  <si>
    <t>Tr = 50</t>
  </si>
  <si>
    <t>Tr = 500</t>
  </si>
  <si>
    <t>Tempo di ritorno</t>
  </si>
  <si>
    <t>METODO DI CALCOLO</t>
  </si>
  <si>
    <t>2. PARAMETRO LUGHEZZA</t>
  </si>
  <si>
    <t>1. PARAMETRO AREA</t>
  </si>
  <si>
    <t>3. PARAMETRO PENDENZE</t>
  </si>
  <si>
    <t>4. PARAMETRI QUOTE s.l.m. E DISLIVELLI</t>
  </si>
  <si>
    <t>5. PARAMETRO PRECIPITAZIONI</t>
  </si>
  <si>
    <t>6. COEFFICIENTI ADIMENSIONALI CARATTERISTICI DEL BACINO IDROLOGICO</t>
  </si>
  <si>
    <r>
      <t>Superficie del bacino idrologico di progetto (km</t>
    </r>
    <r>
      <rPr>
        <b/>
        <vertAlign val="superscript"/>
        <sz val="9"/>
        <color indexed="59"/>
        <rFont val="Arial"/>
        <family val="2"/>
      </rPr>
      <t>2</t>
    </r>
    <r>
      <rPr>
        <b/>
        <sz val="9"/>
        <color indexed="59"/>
        <rFont val="Arial"/>
        <family val="2"/>
      </rPr>
      <t>)</t>
    </r>
  </si>
  <si>
    <r>
      <t>TEMPO DI CORRIVAZIONE (</t>
    </r>
    <r>
      <rPr>
        <b/>
        <sz val="12"/>
        <color indexed="59"/>
        <rFont val="Symbol Set SWA"/>
        <family val="1"/>
        <charset val="2"/>
      </rPr>
      <t>t</t>
    </r>
    <r>
      <rPr>
        <b/>
        <sz val="8"/>
        <color indexed="59"/>
        <rFont val="Arial"/>
        <family val="2"/>
      </rPr>
      <t>c</t>
    </r>
    <r>
      <rPr>
        <b/>
        <sz val="10"/>
        <color indexed="59"/>
        <rFont val="Arial"/>
      </rPr>
      <t>)</t>
    </r>
  </si>
  <si>
    <r>
      <t>PORTATA: Q</t>
    </r>
    <r>
      <rPr>
        <b/>
        <sz val="9"/>
        <color indexed="59"/>
        <rFont val="Arial"/>
        <family val="2"/>
      </rPr>
      <t xml:space="preserve"> (mc/sec)</t>
    </r>
  </si>
  <si>
    <r>
      <t>ANALISI STATISTICA DELLA PORTATA DI MASSIMA PIENA A T</t>
    </r>
    <r>
      <rPr>
        <b/>
        <sz val="7"/>
        <color indexed="59"/>
        <rFont val="Arial"/>
        <family val="2"/>
      </rPr>
      <t>R</t>
    </r>
    <r>
      <rPr>
        <b/>
        <sz val="10"/>
        <color indexed="59"/>
        <rFont val="Arial"/>
        <family val="2"/>
      </rPr>
      <t xml:space="preserve"> = 100 ANNI</t>
    </r>
  </si>
  <si>
    <t>PARAMETRI DI USCITA</t>
  </si>
  <si>
    <t>CALCOLO DELLE PORTATE DI MASSIMA PIENA</t>
  </si>
  <si>
    <t>METODI</t>
  </si>
  <si>
    <t xml:space="preserve">Il parametro "c" (o "Ca" secondo alcuni Autori) puo' essere stimato da letteratura </t>
  </si>
  <si>
    <t>(Cfr. Commento alla voce "Ca") oppure calcolato in maniera semplificata tramite</t>
  </si>
  <si>
    <t xml:space="preserve"> la formila di Schaake et Alii (1967)</t>
  </si>
  <si>
    <t>Coefficiente "c" della formula razionale</t>
  </si>
  <si>
    <t>rapporto</t>
  </si>
  <si>
    <t>pendenza</t>
  </si>
  <si>
    <t>Ca</t>
  </si>
  <si>
    <t>VALORE di "C" da calcolo analitico</t>
  </si>
  <si>
    <t>Ic%</t>
  </si>
  <si>
    <t>VALORE di "C" da stima di letteratura come indicazione per il calcolo analitico</t>
  </si>
  <si>
    <t>CARATTERISTICHE GEOMORFOLOGICHE DEL BACINO IDROLOGICO DI RIFERIMENTO PROGETTUALE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</si>
</sst>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_-[$€]\ * #,##0.00_-;\-[$€]\ * #,##0.00_-;_-[$€]\ * &quot;-&quot;??_-;_-@_-"/>
  </numFmts>
  <fonts count="33">
    <font>
      <sz val="10"/>
      <name val="Arial"/>
    </font>
    <font>
      <sz val="10"/>
      <name val="Arial"/>
    </font>
    <font>
      <sz val="8"/>
      <name val="Arial"/>
    </font>
    <font>
      <sz val="8"/>
      <color indexed="81"/>
      <name val="Tahoma"/>
    </font>
    <font>
      <vertAlign val="superscript"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8"/>
      <color indexed="59"/>
      <name val="Arial"/>
      <family val="2"/>
    </font>
    <font>
      <b/>
      <sz val="10"/>
      <color indexed="59"/>
      <name val="Arial"/>
      <family val="2"/>
    </font>
    <font>
      <b/>
      <sz val="11"/>
      <color indexed="59"/>
      <name val="Arial"/>
      <family val="2"/>
    </font>
    <font>
      <sz val="10"/>
      <color indexed="59"/>
      <name val="Arial"/>
      <family val="2"/>
    </font>
    <font>
      <b/>
      <sz val="9"/>
      <color indexed="59"/>
      <name val="Arial"/>
      <family val="2"/>
    </font>
    <font>
      <sz val="10"/>
      <color indexed="59"/>
      <name val="Arial"/>
    </font>
    <font>
      <b/>
      <i/>
      <sz val="9"/>
      <color indexed="59"/>
      <name val="Arial"/>
      <family val="2"/>
    </font>
    <font>
      <b/>
      <sz val="10"/>
      <color indexed="59"/>
      <name val="Arial"/>
    </font>
    <font>
      <b/>
      <vertAlign val="superscript"/>
      <sz val="9"/>
      <color indexed="59"/>
      <name val="Arial"/>
      <family val="2"/>
    </font>
    <font>
      <sz val="8"/>
      <color indexed="59"/>
      <name val="Arial"/>
    </font>
    <font>
      <sz val="9"/>
      <color indexed="59"/>
      <name val="Arial"/>
      <family val="2"/>
    </font>
    <font>
      <sz val="12"/>
      <color indexed="59"/>
      <name val="Arial"/>
      <family val="2"/>
    </font>
    <font>
      <b/>
      <sz val="8"/>
      <color indexed="59"/>
      <name val="Arial"/>
      <family val="2"/>
    </font>
    <font>
      <sz val="11"/>
      <color indexed="59"/>
      <name val="Arial"/>
      <family val="2"/>
    </font>
    <font>
      <b/>
      <sz val="12"/>
      <color indexed="59"/>
      <name val="Symbol Set SWA"/>
      <family val="1"/>
      <charset val="2"/>
    </font>
    <font>
      <b/>
      <i/>
      <sz val="10"/>
      <color indexed="59"/>
      <name val="Arial"/>
    </font>
    <font>
      <i/>
      <sz val="8"/>
      <color indexed="59"/>
      <name val="Arial"/>
      <family val="2"/>
    </font>
    <font>
      <b/>
      <i/>
      <sz val="11"/>
      <color indexed="59"/>
      <name val="Arial"/>
      <family val="2"/>
    </font>
    <font>
      <b/>
      <u/>
      <sz val="10"/>
      <color indexed="59"/>
      <name val="Arial"/>
      <family val="2"/>
    </font>
    <font>
      <b/>
      <i/>
      <sz val="8"/>
      <color indexed="59"/>
      <name val="Arial"/>
      <family val="2"/>
    </font>
    <font>
      <b/>
      <i/>
      <sz val="10"/>
      <color indexed="59"/>
      <name val="Arial"/>
      <family val="2"/>
    </font>
    <font>
      <b/>
      <sz val="7"/>
      <color indexed="59"/>
      <name val="Arial"/>
      <family val="2"/>
    </font>
    <font>
      <sz val="13"/>
      <color indexed="59"/>
      <name val="Arial Black"/>
      <family val="2"/>
    </font>
    <font>
      <sz val="18"/>
      <color indexed="59"/>
      <name val="Zurich XBlk BT"/>
      <family val="2"/>
    </font>
    <font>
      <sz val="9"/>
      <name val="Arial"/>
    </font>
    <font>
      <b/>
      <sz val="2"/>
      <color indexed="9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10">
    <xf numFmtId="0" fontId="0" fillId="0" borderId="0" xfId="0"/>
    <xf numFmtId="0" fontId="0" fillId="2" borderId="0" xfId="0" applyFill="1" applyProtection="1">
      <protection hidden="1"/>
    </xf>
    <xf numFmtId="0" fontId="31" fillId="2" borderId="0" xfId="0" applyFont="1" applyFill="1" applyAlignment="1" applyProtection="1">
      <alignment horizontal="right"/>
      <protection hidden="1"/>
    </xf>
    <xf numFmtId="0" fontId="0" fillId="2" borderId="1" xfId="0" applyFill="1" applyBorder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164" fontId="6" fillId="3" borderId="1" xfId="0" applyNumberFormat="1" applyFont="1" applyFill="1" applyBorder="1" applyProtection="1">
      <protection hidden="1"/>
    </xf>
    <xf numFmtId="165" fontId="6" fillId="4" borderId="1" xfId="0" applyNumberFormat="1" applyFont="1" applyFill="1" applyBorder="1" applyProtection="1">
      <protection hidden="1"/>
    </xf>
    <xf numFmtId="2" fontId="6" fillId="0" borderId="1" xfId="0" applyNumberFormat="1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3" borderId="8" xfId="0" applyFont="1" applyFill="1" applyBorder="1" applyAlignment="1" applyProtection="1">
      <alignment horizontal="left" vertical="center" indent="1"/>
      <protection hidden="1"/>
    </xf>
    <xf numFmtId="0" fontId="12" fillId="3" borderId="9" xfId="0" applyFont="1" applyFill="1" applyBorder="1" applyAlignment="1" applyProtection="1">
      <alignment vertical="center"/>
      <protection hidden="1"/>
    </xf>
    <xf numFmtId="0" fontId="14" fillId="3" borderId="10" xfId="0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2" fontId="14" fillId="4" borderId="12" xfId="0" applyNumberFormat="1" applyFont="1" applyFill="1" applyBorder="1" applyAlignment="1" applyProtection="1">
      <alignment horizontal="right" vertical="center"/>
      <protection hidden="1"/>
    </xf>
    <xf numFmtId="2" fontId="14" fillId="0" borderId="0" xfId="0" applyNumberFormat="1" applyFont="1" applyFill="1" applyBorder="1" applyAlignment="1" applyProtection="1">
      <alignment vertical="center"/>
      <protection hidden="1"/>
    </xf>
    <xf numFmtId="0" fontId="17" fillId="0" borderId="11" xfId="0" applyFont="1" applyFill="1" applyBorder="1" applyAlignment="1" applyProtection="1">
      <alignment horizontal="left" vertical="center" indent="1"/>
      <protection hidden="1"/>
    </xf>
    <xf numFmtId="0" fontId="14" fillId="4" borderId="12" xfId="1" applyNumberFormat="1" applyFont="1" applyFill="1" applyBorder="1" applyAlignment="1" applyProtection="1">
      <alignment horizontal="right" vertical="center"/>
      <protection hidden="1"/>
    </xf>
    <xf numFmtId="166" fontId="14" fillId="0" borderId="12" xfId="0" applyNumberFormat="1" applyFont="1" applyFill="1" applyBorder="1" applyAlignment="1" applyProtection="1">
      <alignment horizontal="right" vertical="center"/>
      <protection hidden="1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165" fontId="14" fillId="4" borderId="12" xfId="0" applyNumberFormat="1" applyFont="1" applyFill="1" applyBorder="1" applyAlignment="1" applyProtection="1">
      <alignment horizontal="right" vertical="center"/>
      <protection hidden="1"/>
    </xf>
    <xf numFmtId="165" fontId="14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2" fontId="14" fillId="0" borderId="12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Protection="1">
      <protection hidden="1"/>
    </xf>
    <xf numFmtId="164" fontId="14" fillId="4" borderId="12" xfId="0" applyNumberFormat="1" applyFont="1" applyFill="1" applyBorder="1" applyAlignment="1" applyProtection="1">
      <alignment horizontal="right" vertical="center"/>
      <protection hidden="1"/>
    </xf>
    <xf numFmtId="2" fontId="32" fillId="0" borderId="12" xfId="0" applyNumberFormat="1" applyFont="1" applyFill="1" applyBorder="1" applyAlignment="1" applyProtection="1">
      <alignment horizontal="right" vertical="center"/>
      <protection hidden="1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19" fillId="5" borderId="2" xfId="0" applyFont="1" applyFill="1" applyBorder="1" applyAlignment="1" applyProtection="1">
      <alignment vertical="center"/>
      <protection hidden="1"/>
    </xf>
    <xf numFmtId="0" fontId="19" fillId="5" borderId="3" xfId="0" applyFont="1" applyFill="1" applyBorder="1" applyAlignment="1" applyProtection="1">
      <alignment vertical="center"/>
      <protection hidden="1"/>
    </xf>
    <xf numFmtId="0" fontId="19" fillId="5" borderId="4" xfId="0" applyFont="1" applyFill="1" applyBorder="1" applyAlignment="1" applyProtection="1">
      <alignment vertical="center"/>
      <protection hidden="1"/>
    </xf>
    <xf numFmtId="1" fontId="14" fillId="4" borderId="12" xfId="0" applyNumberFormat="1" applyFont="1" applyFill="1" applyBorder="1" applyAlignment="1" applyProtection="1">
      <alignment horizontal="right" vertical="center"/>
      <protection hidden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17" fillId="0" borderId="14" xfId="0" applyFont="1" applyFill="1" applyBorder="1" applyAlignment="1" applyProtection="1">
      <alignment horizontal="left" vertical="center" indent="1"/>
      <protection hidden="1"/>
    </xf>
    <xf numFmtId="0" fontId="12" fillId="0" borderId="15" xfId="0" applyFont="1" applyFill="1" applyBorder="1" applyAlignment="1" applyProtection="1">
      <alignment vertical="center"/>
      <protection hidden="1"/>
    </xf>
    <xf numFmtId="2" fontId="14" fillId="0" borderId="16" xfId="0" applyNumberFormat="1" applyFont="1" applyFill="1" applyBorder="1" applyAlignment="1" applyProtection="1">
      <alignment horizontal="right" vertical="center"/>
      <protection hidden="1"/>
    </xf>
    <xf numFmtId="0" fontId="16" fillId="0" borderId="17" xfId="0" applyFont="1" applyFill="1" applyBorder="1" applyAlignment="1" applyProtection="1">
      <alignment vertical="center"/>
      <protection hidden="1"/>
    </xf>
    <xf numFmtId="164" fontId="14" fillId="0" borderId="0" xfId="0" applyNumberFormat="1" applyFont="1" applyFill="1" applyBorder="1" applyAlignment="1" applyProtection="1">
      <alignment horizontal="right" vertical="center"/>
      <protection hidden="1"/>
    </xf>
    <xf numFmtId="0" fontId="9" fillId="0" borderId="0" xfId="0" quotePrefix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0" fillId="0" borderId="11" xfId="0" quotePrefix="1" applyFont="1" applyFill="1" applyBorder="1" applyAlignment="1" applyProtection="1">
      <alignment horizontal="center" vertical="center"/>
      <protection hidden="1"/>
    </xf>
    <xf numFmtId="0" fontId="20" fillId="0" borderId="0" xfId="0" quotePrefix="1" applyFont="1" applyFill="1" applyBorder="1" applyAlignment="1" applyProtection="1">
      <alignment horizontal="center" vertical="center"/>
      <protection hidden="1"/>
    </xf>
    <xf numFmtId="0" fontId="20" fillId="0" borderId="12" xfId="0" quotePrefix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left" vertical="center" indent="1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23" fillId="0" borderId="0" xfId="0" applyFont="1" applyFill="1" applyBorder="1" applyAlignment="1" applyProtection="1">
      <alignment horizontal="right" vertical="center"/>
      <protection hidden="1"/>
    </xf>
    <xf numFmtId="0" fontId="22" fillId="0" borderId="18" xfId="0" applyFont="1" applyFill="1" applyBorder="1" applyAlignment="1" applyProtection="1">
      <alignment horizontal="left" vertical="center" indent="1"/>
      <protection hidden="1"/>
    </xf>
    <xf numFmtId="0" fontId="16" fillId="0" borderId="19" xfId="0" applyFont="1" applyFill="1" applyBorder="1" applyAlignment="1" applyProtection="1">
      <alignment vertical="center"/>
      <protection hidden="1"/>
    </xf>
    <xf numFmtId="0" fontId="12" fillId="0" borderId="19" xfId="0" applyFont="1" applyFill="1" applyBorder="1" applyAlignment="1" applyProtection="1">
      <alignment vertical="center"/>
      <protection hidden="1"/>
    </xf>
    <xf numFmtId="2" fontId="14" fillId="0" borderId="13" xfId="0" applyNumberFormat="1" applyFont="1" applyFill="1" applyBorder="1" applyAlignment="1" applyProtection="1">
      <alignment horizontal="right" vertical="center"/>
      <protection hidden="1"/>
    </xf>
    <xf numFmtId="0" fontId="10" fillId="3" borderId="20" xfId="0" applyFont="1" applyFill="1" applyBorder="1" applyAlignment="1" applyProtection="1">
      <alignment vertical="center"/>
      <protection hidden="1"/>
    </xf>
    <xf numFmtId="0" fontId="10" fillId="3" borderId="21" xfId="0" applyFont="1" applyFill="1" applyBorder="1" applyAlignment="1" applyProtection="1">
      <alignment vertical="center"/>
      <protection hidden="1"/>
    </xf>
    <xf numFmtId="0" fontId="19" fillId="3" borderId="21" xfId="0" applyFont="1" applyFill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horizontal="centerContinuous" vertical="center"/>
      <protection hidden="1"/>
    </xf>
    <xf numFmtId="0" fontId="10" fillId="3" borderId="21" xfId="0" applyFont="1" applyFill="1" applyBorder="1" applyAlignment="1" applyProtection="1">
      <alignment horizontal="centerContinuous" vertical="center"/>
      <protection hidden="1"/>
    </xf>
    <xf numFmtId="0" fontId="24" fillId="3" borderId="21" xfId="0" applyFont="1" applyFill="1" applyBorder="1" applyAlignment="1" applyProtection="1">
      <alignment horizontal="right" vertical="center"/>
      <protection hidden="1"/>
    </xf>
    <xf numFmtId="2" fontId="8" fillId="3" borderId="2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centerContinuous"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19" fillId="7" borderId="3" xfId="0" applyFont="1" applyFill="1" applyBorder="1" applyAlignment="1" applyProtection="1">
      <alignment vertical="center"/>
      <protection hidden="1"/>
    </xf>
    <xf numFmtId="0" fontId="19" fillId="7" borderId="4" xfId="0" applyFont="1" applyFill="1" applyBorder="1" applyAlignment="1" applyProtection="1">
      <alignment vertical="center"/>
      <protection hidden="1"/>
    </xf>
    <xf numFmtId="0" fontId="7" fillId="3" borderId="18" xfId="0" applyFont="1" applyFill="1" applyBorder="1" applyAlignment="1" applyProtection="1">
      <alignment vertical="center"/>
      <protection hidden="1"/>
    </xf>
    <xf numFmtId="0" fontId="10" fillId="3" borderId="19" xfId="0" applyFont="1" applyFill="1" applyBorder="1" applyAlignment="1" applyProtection="1">
      <alignment vertical="center"/>
      <protection hidden="1"/>
    </xf>
    <xf numFmtId="0" fontId="7" fillId="3" borderId="19" xfId="0" applyFont="1" applyFill="1" applyBorder="1" applyAlignment="1" applyProtection="1">
      <alignment vertical="center"/>
      <protection hidden="1"/>
    </xf>
    <xf numFmtId="0" fontId="11" fillId="3" borderId="19" xfId="0" applyFont="1" applyFill="1" applyBorder="1" applyAlignment="1" applyProtection="1">
      <alignment horizontal="right" vertical="center"/>
      <protection hidden="1"/>
    </xf>
    <xf numFmtId="2" fontId="25" fillId="3" borderId="13" xfId="0" applyNumberFormat="1" applyFont="1" applyFill="1" applyBorder="1" applyAlignment="1" applyProtection="1">
      <alignment horizontal="right" vertical="center"/>
      <protection hidden="1"/>
    </xf>
    <xf numFmtId="164" fontId="25" fillId="0" borderId="0" xfId="0" applyNumberFormat="1" applyFont="1" applyFill="1" applyBorder="1" applyAlignment="1" applyProtection="1">
      <alignment vertical="center"/>
      <protection hidden="1"/>
    </xf>
    <xf numFmtId="0" fontId="7" fillId="0" borderId="11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2" fontId="8" fillId="0" borderId="12" xfId="0" applyNumberFormat="1" applyFont="1" applyFill="1" applyBorder="1" applyAlignment="1" applyProtection="1">
      <alignment horizontal="right" vertical="center"/>
      <protection hidden="1"/>
    </xf>
    <xf numFmtId="164" fontId="8" fillId="0" borderId="0" xfId="0" applyNumberFormat="1" applyFont="1" applyFill="1" applyBorder="1" applyAlignment="1" applyProtection="1">
      <alignment vertical="center"/>
      <protection hidden="1"/>
    </xf>
    <xf numFmtId="2" fontId="7" fillId="0" borderId="0" xfId="0" applyNumberFormat="1" applyFont="1" applyFill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vertical="center"/>
      <protection hidden="1"/>
    </xf>
    <xf numFmtId="2" fontId="24" fillId="8" borderId="25" xfId="0" applyNumberFormat="1" applyFont="1" applyFill="1" applyBorder="1" applyAlignment="1" applyProtection="1">
      <alignment horizontal="right" vertical="center"/>
      <protection hidden="1"/>
    </xf>
    <xf numFmtId="2" fontId="24" fillId="0" borderId="0" xfId="0" applyNumberFormat="1" applyFont="1" applyFill="1" applyBorder="1" applyAlignment="1" applyProtection="1">
      <alignment vertical="center"/>
      <protection hidden="1"/>
    </xf>
    <xf numFmtId="0" fontId="8" fillId="7" borderId="26" xfId="0" applyFont="1" applyFill="1" applyBorder="1" applyAlignment="1" applyProtection="1">
      <alignment horizontal="center" vertical="center"/>
      <protection hidden="1"/>
    </xf>
    <xf numFmtId="0" fontId="8" fillId="7" borderId="27" xfId="0" applyFont="1" applyFill="1" applyBorder="1" applyAlignment="1" applyProtection="1">
      <alignment horizontal="center" vertical="center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26" fillId="0" borderId="27" xfId="0" applyFont="1" applyFill="1" applyBorder="1" applyAlignment="1" applyProtection="1">
      <alignment horizontal="right" vertical="center"/>
      <protection hidden="1"/>
    </xf>
    <xf numFmtId="0" fontId="17" fillId="0" borderId="29" xfId="0" applyFont="1" applyFill="1" applyBorder="1" applyAlignment="1" applyProtection="1">
      <alignment horizontal="right" vertical="center"/>
      <protection hidden="1"/>
    </xf>
    <xf numFmtId="0" fontId="17" fillId="0" borderId="30" xfId="0" applyFont="1" applyFill="1" applyBorder="1" applyAlignment="1" applyProtection="1">
      <alignment horizontal="right" vertical="center"/>
      <protection hidden="1"/>
    </xf>
    <xf numFmtId="0" fontId="17" fillId="0" borderId="28" xfId="0" applyFont="1" applyFill="1" applyBorder="1" applyAlignment="1" applyProtection="1">
      <alignment horizontal="right" vertical="center"/>
      <protection hidden="1"/>
    </xf>
    <xf numFmtId="0" fontId="27" fillId="0" borderId="33" xfId="0" applyFont="1" applyFill="1" applyBorder="1" applyAlignment="1" applyProtection="1">
      <alignment horizontal="left" vertical="center" indent="1"/>
      <protection hidden="1"/>
    </xf>
    <xf numFmtId="0" fontId="8" fillId="0" borderId="34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vertical="center"/>
      <protection hidden="1"/>
    </xf>
    <xf numFmtId="0" fontId="7" fillId="0" borderId="19" xfId="0" applyFont="1" applyBorder="1" applyAlignment="1" applyProtection="1">
      <alignment vertical="center"/>
      <protection hidden="1"/>
    </xf>
    <xf numFmtId="0" fontId="23" fillId="0" borderId="35" xfId="0" applyFont="1" applyFill="1" applyBorder="1" applyAlignment="1" applyProtection="1">
      <alignment horizontal="right" vertical="center"/>
      <protection hidden="1"/>
    </xf>
    <xf numFmtId="2" fontId="27" fillId="0" borderId="36" xfId="0" applyNumberFormat="1" applyFont="1" applyFill="1" applyBorder="1" applyAlignment="1" applyProtection="1">
      <alignment horizontal="right" vertical="center"/>
      <protection hidden="1"/>
    </xf>
    <xf numFmtId="2" fontId="27" fillId="0" borderId="36" xfId="0" applyNumberFormat="1" applyFont="1" applyBorder="1" applyAlignment="1" applyProtection="1">
      <alignment vertical="center"/>
      <protection hidden="1"/>
    </xf>
    <xf numFmtId="2" fontId="27" fillId="0" borderId="37" xfId="0" applyNumberFormat="1" applyFont="1" applyBorder="1" applyAlignment="1" applyProtection="1">
      <alignment vertical="center"/>
      <protection hidden="1"/>
    </xf>
    <xf numFmtId="0" fontId="27" fillId="0" borderId="41" xfId="0" applyFont="1" applyFill="1" applyBorder="1" applyAlignment="1" applyProtection="1">
      <alignment horizontal="left" vertical="center" indent="1"/>
      <protection hidden="1"/>
    </xf>
    <xf numFmtId="0" fontId="8" fillId="0" borderId="42" xfId="0" applyFont="1" applyFill="1" applyBorder="1" applyAlignment="1" applyProtection="1">
      <alignment horizontal="left" vertical="center" indent="1"/>
      <protection hidden="1"/>
    </xf>
    <xf numFmtId="0" fontId="10" fillId="0" borderId="9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0" fontId="23" fillId="0" borderId="43" xfId="0" applyFont="1" applyFill="1" applyBorder="1" applyAlignment="1" applyProtection="1">
      <alignment horizontal="right" vertical="center"/>
      <protection hidden="1"/>
    </xf>
    <xf numFmtId="2" fontId="27" fillId="0" borderId="44" xfId="0" applyNumberFormat="1" applyFont="1" applyFill="1" applyBorder="1" applyAlignment="1" applyProtection="1">
      <alignment horizontal="right" vertical="center"/>
      <protection hidden="1"/>
    </xf>
    <xf numFmtId="2" fontId="27" fillId="0" borderId="44" xfId="0" applyNumberFormat="1" applyFont="1" applyBorder="1" applyAlignment="1" applyProtection="1">
      <alignment vertical="center"/>
      <protection hidden="1"/>
    </xf>
    <xf numFmtId="2" fontId="27" fillId="0" borderId="45" xfId="0" applyNumberFormat="1" applyFont="1" applyBorder="1" applyAlignment="1" applyProtection="1">
      <alignment vertical="center"/>
      <protection hidden="1"/>
    </xf>
    <xf numFmtId="0" fontId="7" fillId="0" borderId="9" xfId="0" applyFont="1" applyFill="1" applyBorder="1" applyAlignment="1" applyProtection="1">
      <alignment vertical="center"/>
      <protection hidden="1"/>
    </xf>
    <xf numFmtId="0" fontId="27" fillId="0" borderId="46" xfId="0" applyFont="1" applyFill="1" applyBorder="1" applyAlignment="1" applyProtection="1">
      <alignment horizontal="left" vertical="center" indent="1"/>
      <protection hidden="1"/>
    </xf>
    <xf numFmtId="0" fontId="8" fillId="0" borderId="47" xfId="0" applyFont="1" applyFill="1" applyBorder="1" applyAlignment="1" applyProtection="1">
      <alignment horizontal="left" vertical="center" indent="1"/>
      <protection hidden="1"/>
    </xf>
    <xf numFmtId="0" fontId="7" fillId="0" borderId="48" xfId="0" applyFont="1" applyFill="1" applyBorder="1" applyAlignment="1" applyProtection="1">
      <alignment vertical="center"/>
      <protection hidden="1"/>
    </xf>
    <xf numFmtId="0" fontId="7" fillId="0" borderId="48" xfId="0" applyFont="1" applyBorder="1" applyAlignment="1" applyProtection="1">
      <alignment vertical="center"/>
      <protection hidden="1"/>
    </xf>
    <xf numFmtId="0" fontId="23" fillId="0" borderId="49" xfId="0" applyFont="1" applyFill="1" applyBorder="1" applyAlignment="1" applyProtection="1">
      <alignment horizontal="right" vertical="center"/>
      <protection hidden="1"/>
    </xf>
    <xf numFmtId="2" fontId="27" fillId="0" borderId="50" xfId="0" applyNumberFormat="1" applyFont="1" applyFill="1" applyBorder="1" applyAlignment="1" applyProtection="1">
      <alignment horizontal="right" vertical="center"/>
      <protection hidden="1"/>
    </xf>
    <xf numFmtId="2" fontId="27" fillId="0" borderId="50" xfId="0" applyNumberFormat="1" applyFont="1" applyBorder="1" applyAlignment="1" applyProtection="1">
      <alignment vertical="center"/>
      <protection hidden="1"/>
    </xf>
    <xf numFmtId="2" fontId="27" fillId="0" borderId="51" xfId="0" applyNumberFormat="1" applyFont="1" applyBorder="1" applyAlignment="1" applyProtection="1">
      <alignment vertical="center"/>
      <protection hidden="1"/>
    </xf>
    <xf numFmtId="0" fontId="27" fillId="0" borderId="52" xfId="0" applyFont="1" applyFill="1" applyBorder="1" applyAlignment="1" applyProtection="1">
      <alignment horizontal="left" vertical="center" indent="1"/>
      <protection hidden="1"/>
    </xf>
    <xf numFmtId="0" fontId="8" fillId="0" borderId="53" xfId="0" applyFont="1" applyFill="1" applyBorder="1" applyAlignment="1" applyProtection="1">
      <alignment horizontal="left" vertical="center" indent="1"/>
      <protection hidden="1"/>
    </xf>
    <xf numFmtId="0" fontId="10" fillId="0" borderId="54" xfId="0" applyFont="1" applyFill="1" applyBorder="1" applyAlignment="1" applyProtection="1">
      <alignment vertical="center"/>
      <protection hidden="1"/>
    </xf>
    <xf numFmtId="0" fontId="7" fillId="0" borderId="54" xfId="0" applyFont="1" applyBorder="1" applyAlignment="1" applyProtection="1">
      <alignment vertical="center"/>
      <protection hidden="1"/>
    </xf>
    <xf numFmtId="0" fontId="23" fillId="0" borderId="55" xfId="0" applyFont="1" applyFill="1" applyBorder="1" applyAlignment="1" applyProtection="1">
      <alignment horizontal="right" vertical="center"/>
      <protection hidden="1"/>
    </xf>
    <xf numFmtId="2" fontId="27" fillId="0" borderId="56" xfId="0" applyNumberFormat="1" applyFont="1" applyFill="1" applyBorder="1" applyAlignment="1" applyProtection="1">
      <alignment horizontal="right" vertical="center"/>
      <protection hidden="1"/>
    </xf>
    <xf numFmtId="2" fontId="27" fillId="0" borderId="56" xfId="0" applyNumberFormat="1" applyFont="1" applyBorder="1" applyAlignment="1" applyProtection="1">
      <alignment vertical="center"/>
      <protection hidden="1"/>
    </xf>
    <xf numFmtId="2" fontId="27" fillId="0" borderId="57" xfId="0" applyNumberFormat="1" applyFont="1" applyBorder="1" applyAlignment="1" applyProtection="1">
      <alignment vertical="center"/>
      <protection hidden="1"/>
    </xf>
    <xf numFmtId="0" fontId="27" fillId="0" borderId="60" xfId="0" applyFont="1" applyFill="1" applyBorder="1" applyAlignment="1" applyProtection="1">
      <alignment horizontal="left" vertical="center" indent="1"/>
      <protection hidden="1"/>
    </xf>
    <xf numFmtId="0" fontId="8" fillId="0" borderId="61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vertical="center"/>
      <protection hidden="1"/>
    </xf>
    <xf numFmtId="0" fontId="7" fillId="0" borderId="21" xfId="0" applyFont="1" applyBorder="1" applyAlignment="1" applyProtection="1">
      <alignment vertical="center"/>
      <protection hidden="1"/>
    </xf>
    <xf numFmtId="0" fontId="23" fillId="0" borderId="62" xfId="0" applyFont="1" applyFill="1" applyBorder="1" applyAlignment="1" applyProtection="1">
      <alignment horizontal="right" vertical="center"/>
      <protection hidden="1"/>
    </xf>
    <xf numFmtId="2" fontId="27" fillId="0" borderId="63" xfId="0" applyNumberFormat="1" applyFont="1" applyFill="1" applyBorder="1" applyAlignment="1" applyProtection="1">
      <alignment horizontal="right" vertical="center"/>
      <protection hidden="1"/>
    </xf>
    <xf numFmtId="2" fontId="27" fillId="0" borderId="63" xfId="0" applyNumberFormat="1" applyFont="1" applyBorder="1" applyAlignment="1" applyProtection="1">
      <alignment vertical="center"/>
      <protection hidden="1"/>
    </xf>
    <xf numFmtId="2" fontId="27" fillId="0" borderId="64" xfId="0" applyNumberFormat="1" applyFont="1" applyBorder="1" applyAlignment="1" applyProtection="1">
      <alignment vertical="center"/>
      <protection hidden="1"/>
    </xf>
    <xf numFmtId="0" fontId="27" fillId="0" borderId="2" xfId="0" applyFont="1" applyFill="1" applyBorder="1" applyAlignment="1" applyProtection="1">
      <alignment horizontal="left" vertical="center" indent="1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0" fontId="10" fillId="0" borderId="3" xfId="0" applyFont="1" applyFill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3" fillId="0" borderId="65" xfId="0" applyFont="1" applyFill="1" applyBorder="1" applyAlignment="1" applyProtection="1">
      <alignment horizontal="right" vertical="center"/>
      <protection hidden="1"/>
    </xf>
    <xf numFmtId="2" fontId="27" fillId="0" borderId="3" xfId="0" applyNumberFormat="1" applyFont="1" applyFill="1" applyBorder="1" applyAlignment="1" applyProtection="1">
      <alignment horizontal="right" vertical="center"/>
      <protection hidden="1"/>
    </xf>
    <xf numFmtId="2" fontId="27" fillId="0" borderId="66" xfId="0" applyNumberFormat="1" applyFont="1" applyBorder="1" applyAlignment="1" applyProtection="1">
      <alignment vertical="center"/>
      <protection hidden="1"/>
    </xf>
    <xf numFmtId="2" fontId="27" fillId="0" borderId="67" xfId="0" applyNumberFormat="1" applyFont="1" applyBorder="1" applyAlignment="1" applyProtection="1">
      <alignment vertical="center"/>
      <protection hidden="1"/>
    </xf>
    <xf numFmtId="0" fontId="7" fillId="0" borderId="32" xfId="0" applyFont="1" applyBorder="1" applyProtection="1">
      <protection hidden="1"/>
    </xf>
    <xf numFmtId="0" fontId="7" fillId="0" borderId="0" xfId="0" applyFont="1" applyBorder="1" applyProtection="1">
      <protection hidden="1"/>
    </xf>
    <xf numFmtId="2" fontId="24" fillId="6" borderId="19" xfId="0" applyNumberFormat="1" applyFont="1" applyFill="1" applyBorder="1" applyAlignment="1" applyProtection="1">
      <alignment horizontal="right" vertical="center"/>
      <protection hidden="1"/>
    </xf>
    <xf numFmtId="2" fontId="24" fillId="6" borderId="37" xfId="0" applyNumberFormat="1" applyFont="1" applyFill="1" applyBorder="1" applyAlignment="1" applyProtection="1">
      <alignment horizontal="right" vertical="center"/>
      <protection hidden="1"/>
    </xf>
    <xf numFmtId="2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2" fontId="11" fillId="0" borderId="0" xfId="0" applyNumberFormat="1" applyFont="1" applyFill="1" applyBorder="1" applyAlignment="1" applyProtection="1">
      <alignment horizontal="right" vertical="center"/>
      <protection hidden="1"/>
    </xf>
    <xf numFmtId="2" fontId="11" fillId="0" borderId="69" xfId="0" applyNumberFormat="1" applyFont="1" applyFill="1" applyBorder="1" applyAlignment="1" applyProtection="1">
      <alignment horizontal="right" vertical="center"/>
      <protection hidden="1"/>
    </xf>
    <xf numFmtId="2" fontId="27" fillId="0" borderId="0" xfId="0" applyNumberFormat="1" applyFont="1" applyFill="1" applyBorder="1" applyAlignment="1" applyProtection="1">
      <alignment horizontal="center" vertical="center"/>
      <protection hidden="1"/>
    </xf>
    <xf numFmtId="2" fontId="26" fillId="0" borderId="9" xfId="0" applyNumberFormat="1" applyFont="1" applyFill="1" applyBorder="1" applyAlignment="1" applyProtection="1">
      <alignment horizontal="right" vertical="center"/>
      <protection hidden="1"/>
    </xf>
    <xf numFmtId="2" fontId="26" fillId="0" borderId="45" xfId="0" applyNumberFormat="1" applyFont="1" applyFill="1" applyBorder="1" applyAlignment="1" applyProtection="1">
      <alignment horizontal="right" vertical="center"/>
      <protection hidden="1"/>
    </xf>
    <xf numFmtId="0" fontId="26" fillId="0" borderId="19" xfId="0" applyFont="1" applyFill="1" applyBorder="1" applyAlignment="1" applyProtection="1">
      <alignment horizontal="center" vertical="center"/>
      <protection hidden="1"/>
    </xf>
    <xf numFmtId="2" fontId="26" fillId="0" borderId="15" xfId="0" applyNumberFormat="1" applyFont="1" applyFill="1" applyBorder="1" applyAlignment="1" applyProtection="1">
      <alignment horizontal="right" vertical="center"/>
      <protection hidden="1"/>
    </xf>
    <xf numFmtId="2" fontId="26" fillId="0" borderId="70" xfId="0" applyNumberFormat="1" applyFont="1" applyFill="1" applyBorder="1" applyAlignment="1" applyProtection="1">
      <alignment horizontal="right" vertical="center"/>
      <protection hidden="1"/>
    </xf>
    <xf numFmtId="2" fontId="8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0" fontId="29" fillId="3" borderId="5" xfId="0" applyFont="1" applyFill="1" applyBorder="1" applyAlignment="1" applyProtection="1">
      <alignment horizontal="center" vertical="center"/>
      <protection hidden="1"/>
    </xf>
    <xf numFmtId="0" fontId="29" fillId="3" borderId="6" xfId="0" applyFont="1" applyFill="1" applyBorder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0" xfId="0" applyFont="1" applyFill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/>
      <protection hidden="1"/>
    </xf>
    <xf numFmtId="0" fontId="11" fillId="0" borderId="9" xfId="0" applyFont="1" applyFill="1" applyBorder="1" applyAlignment="1" applyProtection="1">
      <alignment horizontal="center"/>
      <protection hidden="1"/>
    </xf>
    <xf numFmtId="0" fontId="11" fillId="0" borderId="10" xfId="0" applyFont="1" applyFill="1" applyBorder="1" applyAlignment="1" applyProtection="1">
      <alignment horizontal="center"/>
      <protection hidden="1"/>
    </xf>
    <xf numFmtId="0" fontId="8" fillId="0" borderId="68" xfId="0" applyFont="1" applyFill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10" fillId="0" borderId="38" xfId="0" applyFont="1" applyFill="1" applyBorder="1" applyAlignment="1" applyProtection="1">
      <alignment horizontal="center" vertical="center"/>
      <protection hidden="1"/>
    </xf>
    <xf numFmtId="0" fontId="10" fillId="0" borderId="39" xfId="0" applyFont="1" applyFill="1" applyBorder="1" applyAlignment="1" applyProtection="1">
      <alignment horizontal="center" vertical="center"/>
      <protection hidden="1"/>
    </xf>
    <xf numFmtId="0" fontId="10" fillId="0" borderId="40" xfId="0" applyFont="1" applyFill="1" applyBorder="1" applyAlignment="1" applyProtection="1">
      <alignment horizontal="center"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 applyProtection="1">
      <alignment horizontal="center" vertical="center"/>
      <protection hidden="1"/>
    </xf>
    <xf numFmtId="0" fontId="8" fillId="7" borderId="31" xfId="0" applyFont="1" applyFill="1" applyBorder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30" fillId="3" borderId="2" xfId="0" applyFont="1" applyFill="1" applyBorder="1" applyAlignment="1" applyProtection="1">
      <alignment horizontal="center"/>
      <protection hidden="1"/>
    </xf>
    <xf numFmtId="0" fontId="30" fillId="3" borderId="3" xfId="0" applyFont="1" applyFill="1" applyBorder="1" applyAlignment="1" applyProtection="1">
      <alignment horizontal="center"/>
      <protection hidden="1"/>
    </xf>
    <xf numFmtId="0" fontId="30" fillId="3" borderId="4" xfId="0" applyFont="1" applyFill="1" applyBorder="1" applyAlignment="1" applyProtection="1">
      <alignment horizontal="center"/>
      <protection hidden="1"/>
    </xf>
    <xf numFmtId="0" fontId="8" fillId="0" borderId="26" xfId="0" applyFont="1" applyFill="1" applyBorder="1" applyAlignment="1" applyProtection="1">
      <alignment horizontal="left" vertical="center" indent="1"/>
      <protection hidden="1"/>
    </xf>
    <xf numFmtId="0" fontId="8" fillId="0" borderId="27" xfId="0" applyFont="1" applyFill="1" applyBorder="1" applyAlignment="1" applyProtection="1">
      <alignment horizontal="left" vertical="center" indent="1"/>
      <protection hidden="1"/>
    </xf>
    <xf numFmtId="0" fontId="8" fillId="7" borderId="27" xfId="0" applyFont="1" applyFill="1" applyBorder="1" applyAlignment="1" applyProtection="1">
      <alignment horizontal="center" vertical="center"/>
      <protection hidden="1"/>
    </xf>
    <xf numFmtId="0" fontId="8" fillId="7" borderId="28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 applyProtection="1">
      <alignment horizontal="center" vertical="center"/>
      <protection hidden="1"/>
    </xf>
    <xf numFmtId="0" fontId="10" fillId="0" borderId="59" xfId="0" applyFont="1" applyFill="1" applyBorder="1" applyAlignment="1" applyProtection="1">
      <alignment horizontal="center" vertical="center"/>
      <protection hidden="1"/>
    </xf>
    <xf numFmtId="0" fontId="11" fillId="8" borderId="23" xfId="0" applyFont="1" applyFill="1" applyBorder="1" applyAlignment="1" applyProtection="1">
      <alignment horizontal="right" vertical="center"/>
      <protection hidden="1"/>
    </xf>
    <xf numFmtId="0" fontId="11" fillId="8" borderId="24" xfId="0" applyFont="1" applyFill="1" applyBorder="1" applyAlignment="1" applyProtection="1">
      <alignment horizontal="right" vertical="center"/>
      <protection hidden="1"/>
    </xf>
    <xf numFmtId="0" fontId="26" fillId="0" borderId="15" xfId="0" applyFont="1" applyFill="1" applyBorder="1" applyAlignment="1" applyProtection="1">
      <alignment horizontal="right" vertical="center"/>
      <protection hidden="1"/>
    </xf>
    <xf numFmtId="0" fontId="11" fillId="0" borderId="18" xfId="0" applyFont="1" applyFill="1" applyBorder="1" applyAlignment="1" applyProtection="1">
      <alignment horizontal="right" vertical="center"/>
      <protection hidden="1"/>
    </xf>
    <xf numFmtId="0" fontId="11" fillId="0" borderId="19" xfId="0" applyFont="1" applyFill="1" applyBorder="1" applyAlignment="1" applyProtection="1">
      <alignment horizontal="right" vertical="center"/>
      <protection hidden="1"/>
    </xf>
    <xf numFmtId="0" fontId="11" fillId="0" borderId="11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26" fillId="0" borderId="8" xfId="0" applyFont="1" applyFill="1" applyBorder="1" applyAlignment="1" applyProtection="1">
      <alignment horizontal="right" vertical="center"/>
      <protection hidden="1"/>
    </xf>
    <xf numFmtId="0" fontId="26" fillId="0" borderId="9" xfId="0" applyFont="1" applyFill="1" applyBorder="1" applyAlignment="1" applyProtection="1">
      <alignment horizontal="right" vertical="center"/>
      <protection hidden="1"/>
    </xf>
    <xf numFmtId="0" fontId="26" fillId="0" borderId="14" xfId="0" applyFont="1" applyFill="1" applyBorder="1" applyAlignment="1" applyProtection="1">
      <alignment horizontal="right" vertical="center"/>
      <protection hidden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46</xdr:row>
      <xdr:rowOff>68580</xdr:rowOff>
    </xdr:from>
    <xdr:to>
      <xdr:col>23</xdr:col>
      <xdr:colOff>45720</xdr:colOff>
      <xdr:row>57</xdr:row>
      <xdr:rowOff>0</xdr:rowOff>
    </xdr:to>
    <xdr:pic>
      <xdr:nvPicPr>
        <xdr:cNvPr id="41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9700" y="8001000"/>
          <a:ext cx="5044440" cy="177546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609600</xdr:colOff>
      <xdr:row>32</xdr:row>
      <xdr:rowOff>53340</xdr:rowOff>
    </xdr:from>
    <xdr:to>
      <xdr:col>23</xdr:col>
      <xdr:colOff>548640</xdr:colOff>
      <xdr:row>38</xdr:row>
      <xdr:rowOff>53340</xdr:rowOff>
    </xdr:to>
    <xdr:pic>
      <xdr:nvPicPr>
        <xdr:cNvPr id="4142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0350"/>
        <a:stretch>
          <a:fillRect/>
        </a:stretch>
      </xdr:blipFill>
      <xdr:spPr bwMode="auto">
        <a:xfrm>
          <a:off x="9014460" y="5608320"/>
          <a:ext cx="5562600" cy="103632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1"/>
  <sheetViews>
    <sheetView showGridLines="0" tabSelected="1" topLeftCell="A13" zoomScale="125" workbookViewId="0">
      <selection activeCell="L33" sqref="L33"/>
    </sheetView>
  </sheetViews>
  <sheetFormatPr defaultColWidth="9.140625" defaultRowHeight="12.75"/>
  <cols>
    <col min="1" max="1" width="9.140625" style="8" customWidth="1"/>
    <col min="2" max="3" width="9.140625" style="9" customWidth="1"/>
    <col min="4" max="4" width="6.7109375" style="9" customWidth="1"/>
    <col min="5" max="5" width="10.7109375" style="9" customWidth="1"/>
    <col min="6" max="6" width="6.7109375" style="9" customWidth="1"/>
    <col min="7" max="7" width="8.28515625" style="9" customWidth="1"/>
    <col min="8" max="10" width="10.7109375" style="9" customWidth="1"/>
    <col min="11" max="11" width="10.7109375" style="10" customWidth="1"/>
    <col min="12" max="12" width="6.5703125" style="11" customWidth="1"/>
    <col min="13" max="13" width="9.85546875" style="11" customWidth="1"/>
    <col min="14" max="14" width="3.28515625" style="11" customWidth="1"/>
    <col min="15" max="22" width="9.140625" style="8" customWidth="1"/>
    <col min="23" max="16384" width="9.140625" style="9"/>
  </cols>
  <sheetData>
    <row r="1" spans="1:22" ht="13.5" thickBot="1"/>
    <row r="2" spans="1:22" ht="24" thickBot="1">
      <c r="B2" s="190" t="s">
        <v>68</v>
      </c>
      <c r="C2" s="191"/>
      <c r="D2" s="191"/>
      <c r="E2" s="191"/>
      <c r="F2" s="191"/>
      <c r="G2" s="191"/>
      <c r="H2" s="191"/>
      <c r="I2" s="191"/>
      <c r="J2" s="191"/>
      <c r="K2" s="192"/>
    </row>
    <row r="3" spans="1:22" ht="12" customHeight="1" thickBot="1"/>
    <row r="4" spans="1:22" ht="25.15" customHeight="1">
      <c r="B4" s="164" t="s">
        <v>0</v>
      </c>
      <c r="C4" s="165"/>
      <c r="D4" s="165"/>
      <c r="E4" s="165"/>
      <c r="F4" s="165"/>
      <c r="G4" s="165"/>
      <c r="H4" s="165"/>
      <c r="I4" s="165"/>
      <c r="J4" s="165"/>
      <c r="K4" s="166"/>
      <c r="L4" s="12"/>
      <c r="M4" s="12"/>
      <c r="N4" s="12"/>
    </row>
    <row r="5" spans="1:22" ht="15" customHeight="1">
      <c r="A5" s="13"/>
      <c r="B5" s="170" t="s">
        <v>80</v>
      </c>
      <c r="C5" s="171"/>
      <c r="D5" s="171"/>
      <c r="E5" s="171"/>
      <c r="F5" s="171"/>
      <c r="G5" s="171"/>
      <c r="H5" s="171"/>
      <c r="I5" s="171"/>
      <c r="J5" s="171"/>
      <c r="K5" s="172"/>
      <c r="L5" s="14"/>
      <c r="M5" s="14"/>
      <c r="N5" s="14"/>
    </row>
    <row r="6" spans="1:22" s="21" customFormat="1" ht="13.15" customHeight="1">
      <c r="A6" s="15"/>
      <c r="B6" s="16" t="s">
        <v>58</v>
      </c>
      <c r="C6" s="17"/>
      <c r="D6" s="17"/>
      <c r="E6" s="17"/>
      <c r="F6" s="17"/>
      <c r="G6" s="17"/>
      <c r="H6" s="17"/>
      <c r="I6" s="17"/>
      <c r="J6" s="17"/>
      <c r="K6" s="18"/>
      <c r="L6" s="19"/>
      <c r="M6" s="19"/>
      <c r="N6" s="19"/>
      <c r="O6" s="20"/>
      <c r="P6" s="20"/>
      <c r="Q6" s="20"/>
      <c r="R6" s="20"/>
      <c r="S6" s="20"/>
      <c r="T6" s="20"/>
      <c r="U6" s="20"/>
      <c r="V6" s="20"/>
    </row>
    <row r="7" spans="1:22" s="21" customFormat="1" ht="13.5" customHeight="1">
      <c r="A7" s="15"/>
      <c r="B7" s="22" t="s">
        <v>63</v>
      </c>
      <c r="C7" s="23"/>
      <c r="D7" s="23"/>
      <c r="E7" s="24"/>
      <c r="F7" s="24"/>
      <c r="G7" s="23"/>
      <c r="H7" s="23"/>
      <c r="I7" s="23"/>
      <c r="J7" s="23"/>
      <c r="K7" s="25">
        <v>135</v>
      </c>
      <c r="L7" s="26"/>
      <c r="M7" s="26"/>
      <c r="N7" s="26"/>
      <c r="O7" s="20"/>
      <c r="P7" s="20"/>
      <c r="Q7" s="20"/>
      <c r="R7" s="20"/>
      <c r="S7" s="20"/>
      <c r="T7" s="20"/>
      <c r="U7" s="20"/>
      <c r="V7" s="20"/>
    </row>
    <row r="8" spans="1:22" ht="13.15" customHeight="1">
      <c r="B8" s="16" t="s">
        <v>57</v>
      </c>
      <c r="C8" s="17"/>
      <c r="D8" s="17"/>
      <c r="E8" s="17"/>
      <c r="F8" s="17"/>
      <c r="G8" s="17"/>
      <c r="H8" s="17"/>
      <c r="I8" s="17"/>
      <c r="J8" s="17"/>
      <c r="K8" s="18"/>
      <c r="L8" s="19"/>
      <c r="M8" s="19"/>
      <c r="N8" s="19"/>
    </row>
    <row r="9" spans="1:22" ht="13.5" customHeight="1">
      <c r="B9" s="27" t="s">
        <v>45</v>
      </c>
      <c r="C9" s="23"/>
      <c r="D9" s="23"/>
      <c r="E9" s="24"/>
      <c r="F9" s="24"/>
      <c r="G9" s="23"/>
      <c r="H9" s="23"/>
      <c r="I9" s="23"/>
      <c r="J9" s="23"/>
      <c r="K9" s="28">
        <v>4.7</v>
      </c>
      <c r="L9" s="26"/>
      <c r="M9" s="26"/>
      <c r="N9" s="26"/>
    </row>
    <row r="10" spans="1:22" ht="13.15" customHeight="1">
      <c r="B10" s="16" t="s">
        <v>59</v>
      </c>
      <c r="C10" s="17"/>
      <c r="D10" s="17"/>
      <c r="E10" s="17"/>
      <c r="F10" s="17"/>
      <c r="G10" s="17"/>
      <c r="H10" s="17"/>
      <c r="I10" s="17"/>
      <c r="J10" s="17"/>
      <c r="K10" s="18"/>
      <c r="L10" s="19"/>
      <c r="M10" s="19"/>
      <c r="N10" s="19"/>
    </row>
    <row r="11" spans="1:22" ht="13.5" customHeight="1">
      <c r="B11" s="27" t="s">
        <v>39</v>
      </c>
      <c r="C11" s="23"/>
      <c r="D11" s="23"/>
      <c r="E11" s="24"/>
      <c r="F11" s="24"/>
      <c r="G11" s="23"/>
      <c r="H11" s="23"/>
      <c r="I11" s="23"/>
      <c r="J11" s="23"/>
      <c r="K11" s="29">
        <f>(K17-K18)/(K9*1000)</f>
        <v>5.8936170212765961E-2</v>
      </c>
      <c r="L11" s="30"/>
      <c r="M11" s="30"/>
      <c r="N11" s="30"/>
    </row>
    <row r="12" spans="1:22" ht="13.5" customHeight="1">
      <c r="B12" s="27" t="s">
        <v>1</v>
      </c>
      <c r="C12" s="24"/>
      <c r="D12" s="24"/>
      <c r="E12" s="24"/>
      <c r="F12" s="24"/>
      <c r="G12" s="24"/>
      <c r="H12" s="24"/>
      <c r="I12" s="24"/>
      <c r="J12" s="24"/>
      <c r="K12" s="31">
        <v>5.7</v>
      </c>
      <c r="L12" s="32"/>
      <c r="M12" s="32"/>
      <c r="N12" s="32"/>
    </row>
    <row r="13" spans="1:22" ht="13.15" customHeight="1">
      <c r="B13" s="16" t="s">
        <v>60</v>
      </c>
      <c r="C13" s="17"/>
      <c r="D13" s="17"/>
      <c r="E13" s="17"/>
      <c r="F13" s="17"/>
      <c r="G13" s="17"/>
      <c r="H13" s="17"/>
      <c r="I13" s="17"/>
      <c r="J13" s="17"/>
      <c r="K13" s="18"/>
      <c r="L13" s="19"/>
      <c r="M13" s="19"/>
      <c r="N13" s="19"/>
    </row>
    <row r="14" spans="1:22" ht="13.5" customHeight="1">
      <c r="A14" s="33"/>
      <c r="B14" s="27" t="s">
        <v>2</v>
      </c>
      <c r="C14" s="23"/>
      <c r="D14" s="23"/>
      <c r="E14" s="24"/>
      <c r="F14" s="24"/>
      <c r="G14" s="23"/>
      <c r="H14" s="23"/>
      <c r="I14" s="23"/>
      <c r="J14" s="23"/>
      <c r="K14" s="25">
        <v>321</v>
      </c>
      <c r="L14" s="26"/>
      <c r="M14" s="26"/>
      <c r="N14" s="26"/>
    </row>
    <row r="15" spans="1:22" ht="13.5" customHeight="1">
      <c r="A15" s="33"/>
      <c r="B15" s="27" t="s">
        <v>3</v>
      </c>
      <c r="C15" s="24"/>
      <c r="D15" s="24"/>
      <c r="E15" s="24"/>
      <c r="F15" s="24"/>
      <c r="G15" s="24"/>
      <c r="H15" s="24"/>
      <c r="I15" s="24"/>
      <c r="J15" s="24"/>
      <c r="K15" s="25">
        <v>6</v>
      </c>
      <c r="L15" s="26"/>
      <c r="M15" s="26"/>
      <c r="N15" s="26"/>
    </row>
    <row r="16" spans="1:22" ht="13.5" customHeight="1">
      <c r="A16" s="33"/>
      <c r="B16" s="27" t="s">
        <v>4</v>
      </c>
      <c r="C16" s="23"/>
      <c r="D16" s="23"/>
      <c r="E16" s="24"/>
      <c r="F16" s="24"/>
      <c r="G16" s="23"/>
      <c r="H16" s="23"/>
      <c r="I16" s="23"/>
      <c r="J16" s="23"/>
      <c r="K16" s="34">
        <f>(K14+K15)/2</f>
        <v>163.5</v>
      </c>
      <c r="L16" s="26"/>
      <c r="M16" s="26"/>
      <c r="N16" s="26"/>
    </row>
    <row r="17" spans="1:23" ht="13.5" customHeight="1">
      <c r="A17" s="33"/>
      <c r="B17" s="27" t="s">
        <v>5</v>
      </c>
      <c r="C17" s="24"/>
      <c r="D17" s="24"/>
      <c r="E17" s="24"/>
      <c r="F17" s="24"/>
      <c r="G17" s="24"/>
      <c r="H17" s="24"/>
      <c r="I17" s="24"/>
      <c r="J17" s="24"/>
      <c r="K17" s="25">
        <v>280</v>
      </c>
      <c r="L17" s="26"/>
      <c r="M17" s="26"/>
      <c r="N17" s="26"/>
    </row>
    <row r="18" spans="1:23" ht="13.5" customHeight="1">
      <c r="A18" s="33"/>
      <c r="B18" s="27" t="s">
        <v>6</v>
      </c>
      <c r="C18" s="24"/>
      <c r="D18" s="24"/>
      <c r="E18" s="24"/>
      <c r="F18" s="24"/>
      <c r="G18" s="24"/>
      <c r="H18" s="24"/>
      <c r="I18" s="24"/>
      <c r="J18" s="24"/>
      <c r="K18" s="25">
        <v>3</v>
      </c>
      <c r="L18" s="26"/>
      <c r="M18" s="26"/>
      <c r="N18" s="26"/>
    </row>
    <row r="19" spans="1:23" ht="13.5" customHeight="1">
      <c r="A19" s="33"/>
      <c r="B19" s="27" t="s">
        <v>7</v>
      </c>
      <c r="C19" s="23"/>
      <c r="D19" s="23"/>
      <c r="E19" s="24"/>
      <c r="F19" s="24"/>
      <c r="G19" s="23"/>
      <c r="H19" s="23"/>
      <c r="I19" s="23"/>
      <c r="J19" s="23"/>
      <c r="K19" s="25">
        <v>3</v>
      </c>
      <c r="L19" s="26"/>
      <c r="M19" s="26"/>
      <c r="N19" s="26"/>
    </row>
    <row r="20" spans="1:23" ht="13.5" customHeight="1">
      <c r="A20" s="33"/>
      <c r="B20" s="27" t="s">
        <v>8</v>
      </c>
      <c r="C20" s="23"/>
      <c r="D20" s="23"/>
      <c r="E20" s="24"/>
      <c r="F20" s="24"/>
      <c r="G20" s="23"/>
      <c r="H20" s="23"/>
      <c r="I20" s="23"/>
      <c r="J20" s="23"/>
      <c r="K20" s="34">
        <f>(K14+K19)/2</f>
        <v>162</v>
      </c>
      <c r="L20" s="26"/>
      <c r="M20" s="26"/>
      <c r="N20" s="26"/>
    </row>
    <row r="21" spans="1:23" ht="13.5" customHeight="1">
      <c r="A21" s="33"/>
      <c r="B21" s="27" t="s">
        <v>9</v>
      </c>
      <c r="C21" s="24"/>
      <c r="D21" s="24"/>
      <c r="E21" s="24"/>
      <c r="F21" s="24"/>
      <c r="G21" s="24"/>
      <c r="H21" s="24"/>
      <c r="I21" s="24"/>
      <c r="J21" s="24"/>
      <c r="K21" s="34">
        <f>K16-K19</f>
        <v>160.5</v>
      </c>
      <c r="L21" s="26"/>
      <c r="M21" s="26"/>
      <c r="N21" s="26"/>
    </row>
    <row r="22" spans="1:23" ht="13.5" customHeight="1">
      <c r="A22" s="33"/>
      <c r="B22" s="27" t="s">
        <v>10</v>
      </c>
      <c r="C22" s="24"/>
      <c r="D22" s="24"/>
      <c r="E22" s="24"/>
      <c r="F22" s="24"/>
      <c r="G22" s="24"/>
      <c r="H22" s="24"/>
      <c r="I22" s="24"/>
      <c r="J22" s="24"/>
      <c r="K22" s="34">
        <f>K17-K18</f>
        <v>277</v>
      </c>
      <c r="L22" s="26"/>
      <c r="M22" s="26"/>
      <c r="N22" s="26"/>
    </row>
    <row r="23" spans="1:23" ht="13.5" customHeight="1">
      <c r="A23" s="33"/>
      <c r="B23" s="27" t="s">
        <v>11</v>
      </c>
      <c r="C23" s="24"/>
      <c r="D23" s="24"/>
      <c r="E23" s="24"/>
      <c r="F23" s="24"/>
      <c r="G23" s="24"/>
      <c r="H23" s="24"/>
      <c r="I23" s="24"/>
      <c r="J23" s="24"/>
      <c r="K23" s="34">
        <f>K14-K15</f>
        <v>315</v>
      </c>
      <c r="L23" s="26"/>
      <c r="M23" s="26"/>
      <c r="N23" s="26"/>
      <c r="O23" s="35"/>
      <c r="P23" s="35"/>
      <c r="Q23" s="35"/>
    </row>
    <row r="24" spans="1:23" ht="12.6" customHeight="1">
      <c r="A24" s="33"/>
      <c r="B24" s="16" t="s">
        <v>61</v>
      </c>
      <c r="C24" s="17"/>
      <c r="D24" s="17"/>
      <c r="E24" s="17"/>
      <c r="F24" s="17"/>
      <c r="G24" s="17"/>
      <c r="H24" s="17"/>
      <c r="I24" s="17"/>
      <c r="J24" s="17"/>
      <c r="K24" s="18"/>
      <c r="L24" s="19"/>
      <c r="M24" s="19"/>
      <c r="N24" s="19"/>
      <c r="O24" s="35"/>
      <c r="P24" s="35"/>
      <c r="Q24" s="35"/>
    </row>
    <row r="25" spans="1:23" ht="13.5" customHeight="1">
      <c r="A25" s="33"/>
      <c r="B25" s="27" t="s">
        <v>12</v>
      </c>
      <c r="C25" s="23"/>
      <c r="D25" s="23"/>
      <c r="E25" s="23"/>
      <c r="F25" s="23"/>
      <c r="G25" s="23"/>
      <c r="H25" s="23"/>
      <c r="I25" s="23"/>
      <c r="J25" s="23"/>
      <c r="K25" s="36">
        <v>0.75</v>
      </c>
      <c r="L25" s="30"/>
      <c r="M25" s="30"/>
      <c r="N25" s="30"/>
      <c r="O25" s="35"/>
      <c r="P25" s="35"/>
      <c r="Q25" s="35"/>
    </row>
    <row r="26" spans="1:23" ht="13.5" customHeight="1">
      <c r="A26" s="33"/>
      <c r="B26" s="27" t="s">
        <v>13</v>
      </c>
      <c r="C26" s="24"/>
      <c r="D26" s="37">
        <v>55.54</v>
      </c>
      <c r="E26" s="24"/>
      <c r="F26" s="24"/>
      <c r="G26" s="24"/>
      <c r="H26" s="24"/>
      <c r="I26" s="24"/>
      <c r="J26" s="24"/>
      <c r="K26" s="38"/>
      <c r="L26" s="26"/>
      <c r="M26" s="26"/>
      <c r="N26" s="26"/>
      <c r="O26" s="35"/>
      <c r="P26" s="35"/>
      <c r="Q26" s="35"/>
    </row>
    <row r="27" spans="1:23" ht="13.5" customHeight="1" thickBot="1">
      <c r="A27" s="33"/>
      <c r="B27" s="27" t="s">
        <v>14</v>
      </c>
      <c r="C27" s="24"/>
      <c r="D27" s="37">
        <v>0.34</v>
      </c>
      <c r="E27" s="24"/>
      <c r="F27" s="24"/>
      <c r="G27" s="24"/>
      <c r="H27" s="24"/>
      <c r="I27" s="24"/>
      <c r="J27" s="24"/>
      <c r="K27" s="39"/>
      <c r="L27" s="26"/>
      <c r="M27" s="26"/>
      <c r="N27" s="26"/>
      <c r="O27" s="35"/>
      <c r="P27" s="35"/>
      <c r="Q27" s="35"/>
    </row>
    <row r="28" spans="1:23" ht="13.15" customHeight="1" thickBot="1">
      <c r="A28" s="33"/>
      <c r="B28" s="16" t="s">
        <v>62</v>
      </c>
      <c r="C28" s="17"/>
      <c r="D28" s="17"/>
      <c r="E28" s="17"/>
      <c r="F28" s="17"/>
      <c r="G28" s="17"/>
      <c r="H28" s="17"/>
      <c r="I28" s="17"/>
      <c r="J28" s="17"/>
      <c r="K28" s="18"/>
      <c r="L28" s="19"/>
      <c r="M28" s="19"/>
      <c r="N28" s="19"/>
      <c r="O28" s="35"/>
      <c r="P28" s="40" t="s">
        <v>77</v>
      </c>
      <c r="Q28" s="41"/>
      <c r="R28" s="41"/>
      <c r="S28" s="41"/>
      <c r="T28" s="41"/>
      <c r="U28" s="41"/>
      <c r="V28" s="41"/>
      <c r="W28" s="42"/>
    </row>
    <row r="29" spans="1:23" ht="13.5" customHeight="1">
      <c r="A29" s="33"/>
      <c r="B29" s="27" t="s">
        <v>15</v>
      </c>
      <c r="C29" s="24"/>
      <c r="D29" s="24"/>
      <c r="E29" s="24"/>
      <c r="F29" s="24"/>
      <c r="G29" s="24"/>
      <c r="H29" s="24"/>
      <c r="I29" s="24"/>
      <c r="J29" s="24"/>
      <c r="K29" s="43">
        <v>5</v>
      </c>
      <c r="L29" s="44"/>
      <c r="M29" s="44"/>
      <c r="N29" s="44"/>
      <c r="O29" s="35"/>
      <c r="P29" s="1" t="s">
        <v>70</v>
      </c>
      <c r="Q29" s="21"/>
      <c r="R29" s="21"/>
      <c r="S29" s="45"/>
      <c r="T29" s="20"/>
    </row>
    <row r="30" spans="1:23" ht="13.5" customHeight="1">
      <c r="A30" s="33"/>
      <c r="B30" s="27" t="s">
        <v>16</v>
      </c>
      <c r="C30" s="24"/>
      <c r="D30" s="24"/>
      <c r="E30" s="24"/>
      <c r="F30" s="24"/>
      <c r="G30" s="24"/>
      <c r="H30" s="24"/>
      <c r="I30" s="24"/>
      <c r="J30" s="24"/>
      <c r="K30" s="43">
        <v>1</v>
      </c>
      <c r="L30" s="44"/>
      <c r="M30" s="44"/>
      <c r="N30" s="44"/>
      <c r="O30" s="35"/>
      <c r="P30" s="1" t="s">
        <v>71</v>
      </c>
      <c r="Q30" s="21"/>
      <c r="R30" s="21"/>
      <c r="S30" s="45"/>
      <c r="T30" s="20"/>
    </row>
    <row r="31" spans="1:23" ht="13.5" customHeight="1" thickBot="1">
      <c r="A31" s="33"/>
      <c r="B31" s="46" t="s">
        <v>73</v>
      </c>
      <c r="C31" s="47"/>
      <c r="D31" s="47"/>
      <c r="E31" s="47"/>
      <c r="F31" s="47"/>
      <c r="G31" s="47"/>
      <c r="H31" s="47"/>
      <c r="I31" s="47"/>
      <c r="J31" s="47"/>
      <c r="K31" s="48">
        <f>T43</f>
        <v>0.43943617021276599</v>
      </c>
      <c r="L31" s="44"/>
      <c r="M31" s="44"/>
      <c r="N31" s="44"/>
      <c r="O31" s="35"/>
      <c r="P31" s="1" t="s">
        <v>72</v>
      </c>
      <c r="Q31" s="21"/>
      <c r="R31" s="21"/>
      <c r="S31" s="20"/>
      <c r="T31" s="20"/>
    </row>
    <row r="32" spans="1:23" ht="5.45" customHeight="1" thickBot="1">
      <c r="A32" s="33"/>
      <c r="B32" s="49"/>
      <c r="C32" s="24"/>
      <c r="D32" s="24"/>
      <c r="E32" s="24"/>
      <c r="F32" s="24"/>
      <c r="G32" s="24"/>
      <c r="H32" s="24"/>
      <c r="I32" s="24"/>
      <c r="J32" s="24"/>
      <c r="K32" s="50"/>
      <c r="L32" s="44"/>
      <c r="M32" s="44"/>
      <c r="N32" s="44"/>
      <c r="O32" s="35"/>
      <c r="P32" s="35"/>
      <c r="Q32" s="35"/>
    </row>
    <row r="33" spans="1:23" ht="25.15" customHeight="1">
      <c r="B33" s="164" t="s">
        <v>67</v>
      </c>
      <c r="C33" s="165"/>
      <c r="D33" s="165"/>
      <c r="E33" s="165"/>
      <c r="F33" s="165"/>
      <c r="G33" s="165"/>
      <c r="H33" s="165"/>
      <c r="I33" s="165"/>
      <c r="J33" s="165"/>
      <c r="K33" s="166"/>
      <c r="L33" s="51"/>
      <c r="M33" s="51"/>
      <c r="N33" s="51"/>
      <c r="O33" s="35"/>
      <c r="P33" s="52"/>
      <c r="Q33" s="21"/>
      <c r="R33" s="21"/>
      <c r="S33" s="20"/>
      <c r="T33" s="20"/>
    </row>
    <row r="34" spans="1:23" s="8" customFormat="1" ht="3.6" customHeight="1">
      <c r="B34" s="53"/>
      <c r="C34" s="54"/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P34" s="52"/>
      <c r="Q34" s="21"/>
      <c r="R34" s="21"/>
      <c r="S34" s="20"/>
      <c r="T34" s="20"/>
    </row>
    <row r="35" spans="1:23" s="21" customFormat="1" ht="13.15" customHeight="1">
      <c r="A35" s="56"/>
      <c r="B35" s="167" t="s">
        <v>64</v>
      </c>
      <c r="C35" s="168"/>
      <c r="D35" s="168"/>
      <c r="E35" s="168"/>
      <c r="F35" s="168"/>
      <c r="G35" s="168"/>
      <c r="H35" s="168"/>
      <c r="I35" s="168"/>
      <c r="J35" s="168"/>
      <c r="K35" s="169"/>
      <c r="L35" s="57"/>
      <c r="M35" s="57"/>
      <c r="N35" s="57"/>
      <c r="O35" s="20"/>
      <c r="S35" s="20"/>
      <c r="T35" s="20"/>
      <c r="U35" s="20"/>
      <c r="V35" s="20"/>
    </row>
    <row r="36" spans="1:23" s="21" customFormat="1" ht="13.15" customHeight="1">
      <c r="A36" s="20"/>
      <c r="B36" s="58" t="s">
        <v>17</v>
      </c>
      <c r="C36" s="23"/>
      <c r="D36" s="23"/>
      <c r="E36" s="24"/>
      <c r="F36" s="23"/>
      <c r="G36" s="23"/>
      <c r="H36" s="23"/>
      <c r="I36" s="23"/>
      <c r="J36" s="59"/>
      <c r="K36" s="34">
        <f>(0.108*((K7*K9)^0.333))/(K11^0.5)</f>
        <v>3.8145431459458305</v>
      </c>
      <c r="L36" s="44"/>
      <c r="M36" s="44"/>
      <c r="N36" s="44"/>
      <c r="O36" s="20"/>
      <c r="P36" s="20"/>
      <c r="Q36" s="20"/>
      <c r="R36" s="20"/>
      <c r="S36" s="20"/>
      <c r="T36" s="20"/>
      <c r="U36" s="20"/>
      <c r="V36" s="20"/>
    </row>
    <row r="37" spans="1:23" s="21" customFormat="1" ht="13.15" customHeight="1">
      <c r="A37" s="20"/>
      <c r="B37" s="58" t="s">
        <v>18</v>
      </c>
      <c r="C37" s="23"/>
      <c r="D37" s="23"/>
      <c r="E37" s="24"/>
      <c r="F37" s="23"/>
      <c r="G37" s="23"/>
      <c r="H37" s="23"/>
      <c r="I37" s="23"/>
      <c r="J37" s="23"/>
      <c r="K37" s="34">
        <f>(4*K7^0.5+1.5*K9)/(0.8*K21^0.5)</f>
        <v>5.2812370685737227</v>
      </c>
      <c r="L37" s="44"/>
      <c r="M37" s="44"/>
      <c r="N37" s="44"/>
      <c r="O37" s="20"/>
      <c r="P37" s="20"/>
      <c r="Q37" s="20"/>
      <c r="R37" s="20"/>
      <c r="S37" s="20"/>
      <c r="T37" s="20"/>
      <c r="U37" s="20"/>
      <c r="V37" s="20"/>
    </row>
    <row r="38" spans="1:23" s="21" customFormat="1" ht="13.15" customHeight="1">
      <c r="A38" s="20"/>
      <c r="B38" s="58" t="s">
        <v>19</v>
      </c>
      <c r="C38" s="23"/>
      <c r="D38" s="23"/>
      <c r="E38" s="24"/>
      <c r="F38" s="23"/>
      <c r="G38" s="23"/>
      <c r="H38" s="23"/>
      <c r="I38" s="23"/>
      <c r="J38" s="59"/>
      <c r="K38" s="34">
        <f>0.369*(K9/K11^0.5)*(K7*K11^0.5/K9^2*K12^0.5)^0.72</f>
        <v>17.758451865925267</v>
      </c>
      <c r="L38" s="44"/>
      <c r="M38" s="44"/>
      <c r="N38" s="44"/>
      <c r="O38" s="20"/>
      <c r="P38" s="20"/>
      <c r="Q38" s="20"/>
      <c r="R38" s="20"/>
      <c r="S38" s="20"/>
      <c r="T38" s="20"/>
      <c r="U38" s="20"/>
      <c r="V38" s="20"/>
    </row>
    <row r="39" spans="1:23" s="21" customFormat="1" ht="13.15" customHeight="1">
      <c r="A39" s="20"/>
      <c r="B39" s="58" t="s">
        <v>20</v>
      </c>
      <c r="C39" s="23"/>
      <c r="D39" s="23"/>
      <c r="E39" s="24"/>
      <c r="F39" s="59"/>
      <c r="G39" s="23"/>
      <c r="H39" s="23"/>
      <c r="I39" s="23"/>
      <c r="J39" s="60"/>
      <c r="K39" s="34">
        <f>6*(K9^0.667/K22^0.333)</f>
        <v>2.5887776978409169</v>
      </c>
      <c r="L39" s="44"/>
      <c r="M39" s="44"/>
      <c r="N39" s="44"/>
      <c r="O39" s="20"/>
      <c r="P39" s="20"/>
      <c r="Q39" s="20"/>
      <c r="R39" s="20"/>
      <c r="S39" s="20"/>
      <c r="T39" s="20"/>
      <c r="U39" s="20"/>
      <c r="V39" s="20"/>
    </row>
    <row r="40" spans="1:23" s="21" customFormat="1" ht="13.15" customHeight="1">
      <c r="A40" s="20"/>
      <c r="B40" s="58" t="s">
        <v>23</v>
      </c>
      <c r="C40" s="23"/>
      <c r="D40" s="23"/>
      <c r="E40" s="24"/>
      <c r="F40" s="23"/>
      <c r="G40" s="23"/>
      <c r="H40" s="23"/>
      <c r="I40" s="23"/>
      <c r="J40" s="59"/>
      <c r="K40" s="34">
        <f>0.1272*SQRT(K7/K11)</f>
        <v>6.0878373389656177</v>
      </c>
      <c r="L40" s="44"/>
      <c r="M40" s="44"/>
      <c r="N40" s="44"/>
      <c r="O40" s="20"/>
      <c r="P40" s="1"/>
      <c r="Q40" s="1"/>
      <c r="R40" s="2" t="s">
        <v>74</v>
      </c>
      <c r="S40" s="2" t="s">
        <v>78</v>
      </c>
      <c r="T40" s="2" t="s">
        <v>75</v>
      </c>
      <c r="U40" s="20"/>
      <c r="V40" s="20"/>
    </row>
    <row r="41" spans="1:23" s="21" customFormat="1" ht="13.15" customHeight="1">
      <c r="A41" s="20"/>
      <c r="B41" s="58" t="s">
        <v>21</v>
      </c>
      <c r="C41" s="23"/>
      <c r="D41" s="23"/>
      <c r="E41" s="24"/>
      <c r="F41" s="23"/>
      <c r="G41" s="23"/>
      <c r="H41" s="23"/>
      <c r="I41" s="23"/>
      <c r="J41" s="23"/>
      <c r="K41" s="34">
        <f>0.95*K9^1.155/K23^0.385</f>
        <v>0.61965087600157764</v>
      </c>
      <c r="L41" s="44"/>
      <c r="M41" s="44"/>
      <c r="N41" s="44"/>
      <c r="O41" s="20"/>
      <c r="P41" s="3">
        <v>0.14000000000000001</v>
      </c>
      <c r="Q41" s="3">
        <v>0.65</v>
      </c>
      <c r="R41" s="3">
        <v>0.37</v>
      </c>
      <c r="S41" s="6">
        <v>1</v>
      </c>
      <c r="T41" s="5">
        <f>K11</f>
        <v>5.8936170212765961E-2</v>
      </c>
      <c r="U41" s="20"/>
      <c r="V41" s="20"/>
    </row>
    <row r="42" spans="1:23" s="21" customFormat="1" ht="13.15" customHeight="1">
      <c r="A42" s="20"/>
      <c r="B42" s="58" t="s">
        <v>22</v>
      </c>
      <c r="C42" s="23"/>
      <c r="D42" s="24"/>
      <c r="E42" s="24"/>
      <c r="F42" s="24"/>
      <c r="G42" s="24"/>
      <c r="H42" s="24"/>
      <c r="I42" s="24"/>
      <c r="J42" s="59"/>
      <c r="K42" s="34">
        <f>0.396*(K9/K11^0.5)*((K7/K9^2)*(K11^0.5/K12^0.5))^0.72</f>
        <v>5.443071336043559</v>
      </c>
      <c r="L42" s="44"/>
      <c r="M42" s="44"/>
      <c r="N42" s="44"/>
      <c r="O42" s="20"/>
      <c r="P42" s="1"/>
      <c r="Q42" s="1"/>
      <c r="R42" s="1"/>
      <c r="S42" s="1"/>
      <c r="T42" s="1"/>
      <c r="U42" s="20"/>
      <c r="V42" s="20"/>
    </row>
    <row r="43" spans="1:23" s="21" customFormat="1" ht="13.15" customHeight="1">
      <c r="A43" s="20"/>
      <c r="B43" s="58" t="s">
        <v>47</v>
      </c>
      <c r="C43" s="23"/>
      <c r="D43" s="24"/>
      <c r="E43" s="24"/>
      <c r="F43" s="24"/>
      <c r="G43" s="24"/>
      <c r="H43" s="24"/>
      <c r="I43" s="24"/>
      <c r="J43" s="60"/>
      <c r="K43" s="34">
        <f>0.914*K9^1.15*K23^-0.38</f>
        <v>0.60883655781854673</v>
      </c>
      <c r="L43" s="44"/>
      <c r="M43" s="44"/>
      <c r="N43" s="44"/>
      <c r="O43" s="20"/>
      <c r="P43" s="1"/>
      <c r="Q43" s="1"/>
      <c r="R43" s="1"/>
      <c r="S43" s="4" t="s">
        <v>76</v>
      </c>
      <c r="T43" s="7">
        <f>P41+(Q41*R41)+(S41*T41)</f>
        <v>0.43943617021276599</v>
      </c>
      <c r="U43" s="20"/>
      <c r="V43" s="20"/>
    </row>
    <row r="44" spans="1:23" s="21" customFormat="1" ht="13.15" customHeight="1">
      <c r="A44" s="20"/>
      <c r="B44" s="58" t="s">
        <v>48</v>
      </c>
      <c r="C44" s="23"/>
      <c r="D44" s="24"/>
      <c r="E44" s="24"/>
      <c r="F44" s="24"/>
      <c r="G44" s="24"/>
      <c r="H44" s="24"/>
      <c r="I44" s="24"/>
      <c r="J44" s="60"/>
      <c r="K44" s="34">
        <f>K9/(3.6*1.25)</f>
        <v>1.0444444444444445</v>
      </c>
      <c r="L44" s="44"/>
      <c r="M44" s="44"/>
      <c r="N44" s="44"/>
      <c r="O44" s="20"/>
      <c r="P44" s="20"/>
      <c r="Q44" s="20"/>
      <c r="R44" s="20"/>
      <c r="S44" s="20"/>
      <c r="T44" s="20"/>
      <c r="U44" s="20"/>
      <c r="V44" s="20"/>
    </row>
    <row r="45" spans="1:23" s="21" customFormat="1" ht="13.15" customHeight="1" thickBot="1">
      <c r="A45" s="20"/>
      <c r="B45" s="61" t="s">
        <v>36</v>
      </c>
      <c r="C45" s="62"/>
      <c r="D45" s="63"/>
      <c r="E45" s="63"/>
      <c r="F45" s="59"/>
      <c r="G45" s="63"/>
      <c r="H45" s="24"/>
      <c r="I45" s="23"/>
      <c r="J45" s="59"/>
      <c r="K45" s="64">
        <f>K9/(15*((K14/1000)^0.38))</f>
        <v>0.48254151851834598</v>
      </c>
      <c r="L45" s="44"/>
      <c r="M45" s="44"/>
      <c r="N45" s="44"/>
      <c r="O45" s="20"/>
      <c r="P45" s="20"/>
      <c r="Q45" s="20"/>
      <c r="R45" s="20"/>
      <c r="S45" s="20"/>
      <c r="T45" s="20"/>
      <c r="U45" s="20"/>
      <c r="V45" s="20"/>
    </row>
    <row r="46" spans="1:23" s="21" customFormat="1" ht="13.15" customHeight="1" thickBot="1">
      <c r="A46" s="20"/>
      <c r="B46" s="65"/>
      <c r="C46" s="66"/>
      <c r="D46" s="66"/>
      <c r="E46" s="67"/>
      <c r="F46" s="68"/>
      <c r="G46" s="69"/>
      <c r="H46" s="69"/>
      <c r="I46" s="69"/>
      <c r="J46" s="70" t="s">
        <v>24</v>
      </c>
      <c r="K46" s="71"/>
      <c r="L46" s="72"/>
      <c r="M46" s="72"/>
      <c r="N46" s="72"/>
      <c r="O46" s="20"/>
      <c r="P46" s="73" t="s">
        <v>79</v>
      </c>
      <c r="Q46" s="74"/>
      <c r="R46" s="74"/>
      <c r="S46" s="74"/>
      <c r="T46" s="74"/>
      <c r="U46" s="74"/>
      <c r="V46" s="74"/>
      <c r="W46" s="75"/>
    </row>
    <row r="47" spans="1:23" s="21" customFormat="1" ht="13.15" customHeight="1">
      <c r="A47" s="20"/>
      <c r="B47" s="76"/>
      <c r="C47" s="77"/>
      <c r="D47" s="77"/>
      <c r="E47" s="77"/>
      <c r="F47" s="78"/>
      <c r="G47" s="78"/>
      <c r="H47" s="78"/>
      <c r="I47" s="78"/>
      <c r="J47" s="79" t="s">
        <v>25</v>
      </c>
      <c r="K47" s="80">
        <f>AVERAGE(K36:K45)</f>
        <v>4.372939185007783</v>
      </c>
      <c r="L47" s="81"/>
      <c r="M47" s="81"/>
      <c r="N47" s="81"/>
      <c r="O47" s="20"/>
      <c r="P47" s="20"/>
      <c r="Q47" s="20"/>
      <c r="R47" s="20"/>
      <c r="S47" s="20"/>
      <c r="T47" s="20"/>
      <c r="U47" s="20"/>
      <c r="V47" s="20"/>
    </row>
    <row r="48" spans="1:23" s="21" customFormat="1" ht="13.15" customHeight="1">
      <c r="A48" s="20"/>
      <c r="B48" s="82"/>
      <c r="C48" s="83"/>
      <c r="D48" s="83"/>
      <c r="E48" s="83"/>
      <c r="F48" s="83"/>
      <c r="G48" s="83"/>
      <c r="H48" s="83"/>
      <c r="I48" s="83"/>
      <c r="J48" s="84" t="s">
        <v>26</v>
      </c>
      <c r="K48" s="85">
        <f>STDEV(K36:K45)</f>
        <v>5.1859614407452721</v>
      </c>
      <c r="L48" s="86"/>
      <c r="M48" s="86"/>
      <c r="N48" s="86"/>
      <c r="O48" s="87"/>
      <c r="P48" s="20"/>
      <c r="Q48" s="20"/>
      <c r="R48" s="20"/>
      <c r="S48" s="20"/>
      <c r="T48" s="20"/>
      <c r="U48" s="20"/>
      <c r="V48" s="20"/>
    </row>
    <row r="49" spans="1:22" s="21" customFormat="1" ht="13.15" customHeight="1">
      <c r="A49" s="20"/>
      <c r="B49" s="82"/>
      <c r="C49" s="83"/>
      <c r="D49" s="83"/>
      <c r="E49" s="83"/>
      <c r="F49" s="83"/>
      <c r="G49" s="83"/>
      <c r="H49" s="83"/>
      <c r="I49" s="83"/>
      <c r="J49" s="84" t="s">
        <v>27</v>
      </c>
      <c r="K49" s="85">
        <f>MIN(K36:K45)</f>
        <v>0.48254151851834598</v>
      </c>
      <c r="L49" s="86"/>
      <c r="M49" s="86"/>
      <c r="N49" s="86"/>
      <c r="O49" s="20"/>
      <c r="P49" s="20"/>
      <c r="Q49" s="20"/>
      <c r="R49" s="20"/>
      <c r="S49" s="20"/>
      <c r="T49" s="20"/>
      <c r="U49" s="20"/>
      <c r="V49" s="20"/>
    </row>
    <row r="50" spans="1:22" s="21" customFormat="1" ht="13.15" customHeight="1">
      <c r="A50" s="20"/>
      <c r="B50" s="88"/>
      <c r="C50" s="83"/>
      <c r="D50" s="83"/>
      <c r="E50" s="83"/>
      <c r="F50" s="83"/>
      <c r="G50" s="83"/>
      <c r="H50" s="83"/>
      <c r="I50" s="83"/>
      <c r="J50" s="84" t="s">
        <v>28</v>
      </c>
      <c r="K50" s="85">
        <f>MAX(K36:K45)</f>
        <v>17.758451865925267</v>
      </c>
      <c r="L50" s="86"/>
      <c r="M50" s="86"/>
      <c r="N50" s="86"/>
      <c r="O50" s="20"/>
      <c r="P50" s="20"/>
      <c r="Q50" s="20"/>
      <c r="R50" s="20"/>
      <c r="S50" s="20"/>
      <c r="T50" s="20"/>
      <c r="U50" s="20"/>
      <c r="V50" s="20"/>
    </row>
    <row r="51" spans="1:22" s="21" customFormat="1" ht="13.15" customHeight="1" thickBot="1">
      <c r="A51" s="20"/>
      <c r="B51" s="200" t="s">
        <v>29</v>
      </c>
      <c r="C51" s="201"/>
      <c r="D51" s="201"/>
      <c r="E51" s="201"/>
      <c r="F51" s="201"/>
      <c r="G51" s="201"/>
      <c r="H51" s="201"/>
      <c r="I51" s="201"/>
      <c r="J51" s="201"/>
      <c r="K51" s="89">
        <f>D26*(K47^D27)</f>
        <v>91.721013339835793</v>
      </c>
      <c r="L51" s="90"/>
      <c r="M51" s="90"/>
      <c r="N51" s="90"/>
      <c r="O51" s="20"/>
      <c r="P51" s="20"/>
      <c r="Q51" s="20"/>
      <c r="R51" s="20"/>
      <c r="S51" s="20"/>
      <c r="T51" s="20"/>
      <c r="U51" s="20"/>
      <c r="V51" s="20"/>
    </row>
    <row r="52" spans="1:22" s="21" customFormat="1" ht="13.15" customHeight="1" thickTop="1" thickBot="1">
      <c r="A52" s="20"/>
      <c r="B52" s="91"/>
      <c r="C52" s="92"/>
      <c r="D52" s="92"/>
      <c r="E52" s="92"/>
      <c r="F52" s="92"/>
      <c r="G52" s="92"/>
      <c r="H52" s="195" t="s">
        <v>65</v>
      </c>
      <c r="I52" s="195"/>
      <c r="J52" s="195"/>
      <c r="K52" s="196"/>
      <c r="L52" s="178"/>
      <c r="M52" s="178"/>
      <c r="N52" s="178"/>
      <c r="O52" s="20"/>
      <c r="P52" s="20"/>
      <c r="Q52" s="20"/>
      <c r="R52" s="20"/>
      <c r="S52" s="20"/>
      <c r="T52" s="20"/>
      <c r="U52" s="20"/>
      <c r="V52" s="20"/>
    </row>
    <row r="53" spans="1:22" s="21" customFormat="1" ht="13.15" customHeight="1" thickTop="1" thickBot="1">
      <c r="A53" s="20"/>
      <c r="B53" s="193" t="s">
        <v>56</v>
      </c>
      <c r="C53" s="194"/>
      <c r="D53" s="194"/>
      <c r="E53" s="194"/>
      <c r="F53" s="93"/>
      <c r="G53" s="94" t="s">
        <v>55</v>
      </c>
      <c r="H53" s="95" t="s">
        <v>51</v>
      </c>
      <c r="I53" s="96" t="s">
        <v>53</v>
      </c>
      <c r="J53" s="96" t="s">
        <v>52</v>
      </c>
      <c r="K53" s="97" t="s">
        <v>54</v>
      </c>
      <c r="L53" s="188" t="s">
        <v>69</v>
      </c>
      <c r="M53" s="188"/>
      <c r="N53" s="189"/>
      <c r="O53" s="20"/>
      <c r="P53" s="20"/>
      <c r="Q53" s="20"/>
      <c r="R53" s="20"/>
      <c r="S53" s="20"/>
      <c r="T53" s="20"/>
      <c r="U53" s="20"/>
      <c r="V53" s="20"/>
    </row>
    <row r="54" spans="1:22" s="21" customFormat="1" ht="13.15" customHeight="1" thickTop="1">
      <c r="A54" s="20"/>
      <c r="B54" s="98" t="s">
        <v>30</v>
      </c>
      <c r="C54" s="99"/>
      <c r="D54" s="100"/>
      <c r="E54" s="100"/>
      <c r="F54" s="101"/>
      <c r="G54" s="102" t="s">
        <v>49</v>
      </c>
      <c r="H54" s="103">
        <f>(20.98*K7^-0.341)*K7</f>
        <v>531.73523237957932</v>
      </c>
      <c r="I54" s="104">
        <f>H54/1.1</f>
        <v>483.39566579961752</v>
      </c>
      <c r="J54" s="104">
        <f>H54*1.089</f>
        <v>579.05966806136189</v>
      </c>
      <c r="K54" s="105">
        <f>H54*1.25</f>
        <v>664.66904047447417</v>
      </c>
      <c r="L54" s="179" t="s">
        <v>40</v>
      </c>
      <c r="M54" s="180"/>
      <c r="N54" s="181"/>
      <c r="O54" s="20"/>
      <c r="P54" s="20"/>
      <c r="Q54" s="20"/>
      <c r="R54" s="20"/>
      <c r="S54" s="20"/>
      <c r="T54" s="20"/>
      <c r="U54" s="20"/>
      <c r="V54" s="20"/>
    </row>
    <row r="55" spans="1:22" s="21" customFormat="1" ht="13.15" customHeight="1">
      <c r="A55" s="20"/>
      <c r="B55" s="106" t="s">
        <v>31</v>
      </c>
      <c r="C55" s="107"/>
      <c r="D55" s="108"/>
      <c r="E55" s="108"/>
      <c r="F55" s="109"/>
      <c r="G55" s="110" t="s">
        <v>49</v>
      </c>
      <c r="H55" s="111">
        <f>((600/(K7+10))+1)*K7</f>
        <v>693.62068965517244</v>
      </c>
      <c r="I55" s="112">
        <f t="shared" ref="I55:I65" si="0">H55/1.1</f>
        <v>630.56426332288402</v>
      </c>
      <c r="J55" s="112">
        <f t="shared" ref="J55:J65" si="1">H55*1.089</f>
        <v>755.35293103448282</v>
      </c>
      <c r="K55" s="113">
        <f t="shared" ref="K55:K65" si="2">H55*1.25</f>
        <v>867.02586206896558</v>
      </c>
      <c r="L55" s="182"/>
      <c r="M55" s="183"/>
      <c r="N55" s="184"/>
      <c r="O55" s="20"/>
      <c r="P55" s="20"/>
      <c r="Q55" s="20"/>
      <c r="R55" s="20"/>
      <c r="S55" s="20"/>
      <c r="T55" s="20"/>
      <c r="U55" s="20"/>
      <c r="V55" s="20"/>
    </row>
    <row r="56" spans="1:22" s="21" customFormat="1" ht="13.15" customHeight="1">
      <c r="A56" s="20"/>
      <c r="B56" s="106" t="s">
        <v>32</v>
      </c>
      <c r="C56" s="107"/>
      <c r="D56" s="108"/>
      <c r="E56" s="108"/>
      <c r="F56" s="109"/>
      <c r="G56" s="110" t="s">
        <v>49</v>
      </c>
      <c r="H56" s="111">
        <f>((2900/(K7+90))+0)*K7</f>
        <v>1740</v>
      </c>
      <c r="I56" s="112">
        <f t="shared" si="0"/>
        <v>1581.8181818181818</v>
      </c>
      <c r="J56" s="112">
        <f t="shared" si="1"/>
        <v>1894.86</v>
      </c>
      <c r="K56" s="113">
        <f t="shared" si="2"/>
        <v>2175</v>
      </c>
      <c r="L56" s="182"/>
      <c r="M56" s="183"/>
      <c r="N56" s="184"/>
      <c r="O56" s="20"/>
      <c r="P56" s="20"/>
      <c r="Q56" s="20"/>
      <c r="R56" s="20"/>
      <c r="S56" s="20"/>
      <c r="T56" s="20"/>
      <c r="U56" s="20"/>
      <c r="V56" s="20"/>
    </row>
    <row r="57" spans="1:22" s="21" customFormat="1" ht="13.15" customHeight="1">
      <c r="A57" s="20"/>
      <c r="B57" s="106" t="s">
        <v>33</v>
      </c>
      <c r="C57" s="107"/>
      <c r="D57" s="108"/>
      <c r="E57" s="108"/>
      <c r="F57" s="109"/>
      <c r="G57" s="110" t="s">
        <v>49</v>
      </c>
      <c r="H57" s="111">
        <f>(((1125/(K7+125)))+0.5)*K7</f>
        <v>651.63461538461536</v>
      </c>
      <c r="I57" s="112">
        <f t="shared" si="0"/>
        <v>592.39510489510485</v>
      </c>
      <c r="J57" s="112">
        <f t="shared" si="1"/>
        <v>709.63009615384613</v>
      </c>
      <c r="K57" s="113">
        <f t="shared" si="2"/>
        <v>814.54326923076917</v>
      </c>
      <c r="L57" s="182"/>
      <c r="M57" s="183"/>
      <c r="N57" s="184"/>
      <c r="O57" s="20"/>
      <c r="P57" s="20"/>
      <c r="Q57" s="20"/>
      <c r="R57" s="20"/>
      <c r="S57" s="20"/>
      <c r="T57" s="20"/>
      <c r="U57" s="20"/>
      <c r="V57" s="20"/>
    </row>
    <row r="58" spans="1:22" s="21" customFormat="1" ht="13.15" customHeight="1">
      <c r="A58" s="15"/>
      <c r="B58" s="106" t="s">
        <v>50</v>
      </c>
      <c r="C58" s="107"/>
      <c r="D58" s="114"/>
      <c r="E58" s="114"/>
      <c r="F58" s="109"/>
      <c r="G58" s="110" t="s">
        <v>49</v>
      </c>
      <c r="H58" s="111">
        <f>12*(K7^0.5)</f>
        <v>139.427400463467</v>
      </c>
      <c r="I58" s="112">
        <f t="shared" si="0"/>
        <v>126.75218223951543</v>
      </c>
      <c r="J58" s="112">
        <f t="shared" si="1"/>
        <v>151.83643910471557</v>
      </c>
      <c r="K58" s="113">
        <f t="shared" si="2"/>
        <v>174.28425057933373</v>
      </c>
      <c r="L58" s="182"/>
      <c r="M58" s="183"/>
      <c r="N58" s="184"/>
      <c r="O58" s="20"/>
      <c r="P58" s="20"/>
      <c r="Q58" s="20"/>
      <c r="R58" s="20"/>
      <c r="S58" s="20"/>
      <c r="T58" s="20"/>
      <c r="U58" s="20"/>
      <c r="V58" s="20"/>
    </row>
    <row r="59" spans="1:22" s="21" customFormat="1" ht="13.15" customHeight="1">
      <c r="A59" s="15"/>
      <c r="B59" s="106" t="s">
        <v>22</v>
      </c>
      <c r="C59" s="107"/>
      <c r="D59" s="114"/>
      <c r="E59" s="114"/>
      <c r="F59" s="109"/>
      <c r="G59" s="110" t="s">
        <v>49</v>
      </c>
      <c r="H59" s="111">
        <f>((900/(K7+24))+3)*K7</f>
        <v>1169.1509433962265</v>
      </c>
      <c r="I59" s="112">
        <f t="shared" si="0"/>
        <v>1062.8644939965695</v>
      </c>
      <c r="J59" s="112">
        <f t="shared" si="1"/>
        <v>1273.2053773584905</v>
      </c>
      <c r="K59" s="113">
        <f t="shared" si="2"/>
        <v>1461.4386792452831</v>
      </c>
      <c r="L59" s="182"/>
      <c r="M59" s="183"/>
      <c r="N59" s="184"/>
      <c r="O59" s="20"/>
      <c r="P59" s="20"/>
      <c r="Q59" s="20"/>
      <c r="R59" s="20"/>
      <c r="S59" s="20"/>
      <c r="T59" s="20"/>
      <c r="U59" s="20"/>
      <c r="V59" s="20"/>
    </row>
    <row r="60" spans="1:22" s="21" customFormat="1" ht="13.15" customHeight="1" thickBot="1">
      <c r="A60" s="15"/>
      <c r="B60" s="115" t="s">
        <v>46</v>
      </c>
      <c r="C60" s="116"/>
      <c r="D60" s="117"/>
      <c r="E60" s="117"/>
      <c r="F60" s="118"/>
      <c r="G60" s="119" t="s">
        <v>49</v>
      </c>
      <c r="H60" s="120">
        <f>(((1358/(K7+259))+0.054)*K7)/1.1</f>
        <v>429.63142593447157</v>
      </c>
      <c r="I60" s="121">
        <f t="shared" si="0"/>
        <v>390.57402357679229</v>
      </c>
      <c r="J60" s="121">
        <f t="shared" si="1"/>
        <v>467.86862284263952</v>
      </c>
      <c r="K60" s="122">
        <f t="shared" si="2"/>
        <v>537.03928241808944</v>
      </c>
      <c r="L60" s="185"/>
      <c r="M60" s="186"/>
      <c r="N60" s="187"/>
      <c r="O60" s="20"/>
      <c r="P60" s="20"/>
      <c r="Q60" s="20"/>
      <c r="R60" s="20"/>
      <c r="S60" s="20"/>
      <c r="T60" s="20"/>
      <c r="U60" s="20"/>
      <c r="V60" s="20"/>
    </row>
    <row r="61" spans="1:22" s="21" customFormat="1" ht="13.15" customHeight="1">
      <c r="A61" s="15"/>
      <c r="B61" s="123" t="s">
        <v>34</v>
      </c>
      <c r="C61" s="124"/>
      <c r="D61" s="125"/>
      <c r="E61" s="125"/>
      <c r="F61" s="126"/>
      <c r="G61" s="127" t="s">
        <v>49</v>
      </c>
      <c r="H61" s="128">
        <f>K30*K29*K25*K7</f>
        <v>506.25</v>
      </c>
      <c r="I61" s="129">
        <f t="shared" si="0"/>
        <v>460.22727272727269</v>
      </c>
      <c r="J61" s="129">
        <f t="shared" si="1"/>
        <v>551.30624999999998</v>
      </c>
      <c r="K61" s="130">
        <f t="shared" si="2"/>
        <v>632.8125</v>
      </c>
      <c r="L61" s="197" t="s">
        <v>35</v>
      </c>
      <c r="M61" s="198"/>
      <c r="N61" s="199"/>
      <c r="O61" s="20"/>
      <c r="P61" s="20"/>
      <c r="Q61" s="20"/>
      <c r="R61" s="20"/>
      <c r="S61" s="20"/>
      <c r="T61" s="20"/>
      <c r="U61" s="20"/>
      <c r="V61" s="20"/>
    </row>
    <row r="62" spans="1:22" s="21" customFormat="1" ht="13.15" customHeight="1">
      <c r="A62" s="15"/>
      <c r="B62" s="98" t="s">
        <v>42</v>
      </c>
      <c r="C62" s="99"/>
      <c r="D62" s="100"/>
      <c r="E62" s="100"/>
      <c r="F62" s="101"/>
      <c r="G62" s="102" t="s">
        <v>49</v>
      </c>
      <c r="H62" s="103">
        <f>(0.0677+0.0543*LN(100))*(0.544*K51*K7)</f>
        <v>2140.4335620021257</v>
      </c>
      <c r="I62" s="104">
        <f t="shared" si="0"/>
        <v>1945.8486927292049</v>
      </c>
      <c r="J62" s="104">
        <f t="shared" si="1"/>
        <v>2330.9321490203147</v>
      </c>
      <c r="K62" s="105">
        <f t="shared" si="2"/>
        <v>2675.5419525026573</v>
      </c>
      <c r="L62" s="182"/>
      <c r="M62" s="183"/>
      <c r="N62" s="184"/>
      <c r="O62" s="20"/>
      <c r="P62" s="20"/>
      <c r="Q62" s="20"/>
      <c r="R62" s="20"/>
      <c r="S62" s="20"/>
      <c r="T62" s="20"/>
      <c r="U62" s="20"/>
      <c r="V62" s="20"/>
    </row>
    <row r="63" spans="1:22" s="21" customFormat="1" ht="13.15" customHeight="1">
      <c r="A63" s="15"/>
      <c r="B63" s="106" t="s">
        <v>18</v>
      </c>
      <c r="C63" s="107"/>
      <c r="D63" s="114"/>
      <c r="E63" s="114"/>
      <c r="F63" s="109"/>
      <c r="G63" s="110" t="s">
        <v>49</v>
      </c>
      <c r="H63" s="111">
        <f>((0.278*(0.0677+0.0543*LN(100))*8*K51)/(4*K47)*K7)*0.7</f>
        <v>350.18879544587281</v>
      </c>
      <c r="I63" s="112">
        <f t="shared" si="0"/>
        <v>318.35345040533889</v>
      </c>
      <c r="J63" s="112">
        <f t="shared" si="1"/>
        <v>381.35559824055548</v>
      </c>
      <c r="K63" s="113">
        <f t="shared" si="2"/>
        <v>437.735994307341</v>
      </c>
      <c r="L63" s="182"/>
      <c r="M63" s="183"/>
      <c r="N63" s="184"/>
      <c r="O63" s="20"/>
      <c r="P63" s="20"/>
      <c r="Q63" s="20"/>
      <c r="R63" s="20"/>
      <c r="S63" s="20"/>
      <c r="T63" s="20"/>
      <c r="U63" s="20"/>
      <c r="V63" s="20"/>
    </row>
    <row r="64" spans="1:22" s="21" customFormat="1" ht="13.15" customHeight="1" thickBot="1">
      <c r="A64" s="15"/>
      <c r="B64" s="131" t="s">
        <v>43</v>
      </c>
      <c r="C64" s="132"/>
      <c r="D64" s="133"/>
      <c r="E64" s="133"/>
      <c r="F64" s="134"/>
      <c r="G64" s="135" t="s">
        <v>49</v>
      </c>
      <c r="H64" s="136">
        <f>(0.7*K7*K51/K47/3.6)*0.8</f>
        <v>440.46834374924515</v>
      </c>
      <c r="I64" s="137">
        <f t="shared" si="0"/>
        <v>400.42576704476829</v>
      </c>
      <c r="J64" s="137">
        <f t="shared" si="1"/>
        <v>479.67002634292794</v>
      </c>
      <c r="K64" s="138">
        <f t="shared" si="2"/>
        <v>550.58542968655638</v>
      </c>
      <c r="L64" s="185"/>
      <c r="M64" s="186"/>
      <c r="N64" s="187"/>
      <c r="O64" s="20"/>
      <c r="P64" s="20"/>
      <c r="Q64" s="20"/>
      <c r="R64" s="20"/>
      <c r="S64" s="20"/>
      <c r="T64" s="20"/>
      <c r="U64" s="20"/>
      <c r="V64" s="20"/>
    </row>
    <row r="65" spans="1:22" s="21" customFormat="1" ht="13.15" customHeight="1" thickBot="1">
      <c r="A65" s="15"/>
      <c r="B65" s="139" t="s">
        <v>44</v>
      </c>
      <c r="C65" s="140"/>
      <c r="D65" s="141"/>
      <c r="E65" s="141"/>
      <c r="F65" s="142"/>
      <c r="G65" s="143" t="s">
        <v>49</v>
      </c>
      <c r="H65" s="144">
        <f>0.278*(K31*K51*K7)/(K47)</f>
        <v>345.91530045498229</v>
      </c>
      <c r="I65" s="145">
        <f t="shared" si="0"/>
        <v>314.46845495907479</v>
      </c>
      <c r="J65" s="145">
        <f t="shared" si="1"/>
        <v>376.70176219547568</v>
      </c>
      <c r="K65" s="146">
        <f t="shared" si="2"/>
        <v>432.39412556872787</v>
      </c>
      <c r="L65" s="175" t="s">
        <v>37</v>
      </c>
      <c r="M65" s="176"/>
      <c r="N65" s="177"/>
      <c r="O65" s="20"/>
      <c r="P65" s="20"/>
      <c r="Q65" s="20"/>
      <c r="R65" s="20"/>
      <c r="S65" s="20"/>
      <c r="T65" s="20"/>
      <c r="U65" s="20"/>
      <c r="V65" s="20"/>
    </row>
    <row r="66" spans="1:22" ht="13.15" customHeight="1" thickBot="1">
      <c r="A66" s="33"/>
      <c r="B66" s="173" t="s">
        <v>66</v>
      </c>
      <c r="C66" s="174"/>
      <c r="D66" s="174"/>
      <c r="E66" s="174"/>
      <c r="F66" s="174"/>
      <c r="G66" s="174"/>
      <c r="H66" s="174"/>
      <c r="I66" s="174"/>
      <c r="J66" s="174"/>
      <c r="K66" s="147"/>
      <c r="L66" s="148"/>
      <c r="M66" s="148"/>
      <c r="N66" s="148"/>
    </row>
    <row r="67" spans="1:22" ht="13.15" customHeight="1" thickTop="1">
      <c r="A67" s="33"/>
      <c r="B67" s="203" t="s">
        <v>38</v>
      </c>
      <c r="C67" s="204"/>
      <c r="D67" s="204"/>
      <c r="E67" s="149">
        <f>AVERAGE(H54:H65)</f>
        <v>761.5380257388133</v>
      </c>
      <c r="F67" s="204" t="s">
        <v>41</v>
      </c>
      <c r="G67" s="204"/>
      <c r="H67" s="204"/>
      <c r="I67" s="204"/>
      <c r="J67" s="204"/>
      <c r="K67" s="150">
        <f>AVERAGE(H58,H60,H61,H63,H65)</f>
        <v>354.28258445975871</v>
      </c>
      <c r="L67" s="151"/>
      <c r="M67" s="151"/>
      <c r="N67" s="151"/>
      <c r="O67" s="59"/>
      <c r="P67" s="152"/>
      <c r="Q67" s="152"/>
      <c r="R67" s="152"/>
    </row>
    <row r="68" spans="1:22" ht="13.15" customHeight="1">
      <c r="A68" s="33"/>
      <c r="B68" s="205" t="s">
        <v>26</v>
      </c>
      <c r="C68" s="206"/>
      <c r="D68" s="206"/>
      <c r="E68" s="153">
        <f>STDEV(H54:H65)</f>
        <v>610.64657614358248</v>
      </c>
      <c r="F68" s="206" t="s">
        <v>26</v>
      </c>
      <c r="G68" s="206"/>
      <c r="H68" s="206"/>
      <c r="I68" s="206"/>
      <c r="J68" s="206"/>
      <c r="K68" s="154">
        <f>STDEV(H65,H61,H60,H58)</f>
        <v>158.11400428397246</v>
      </c>
      <c r="L68" s="155"/>
      <c r="M68" s="155"/>
      <c r="N68" s="155"/>
      <c r="O68" s="59"/>
      <c r="P68" s="152"/>
      <c r="Q68" s="152"/>
      <c r="R68" s="152"/>
    </row>
    <row r="69" spans="1:22" ht="13.15" customHeight="1">
      <c r="A69" s="33"/>
      <c r="B69" s="207" t="s">
        <v>27</v>
      </c>
      <c r="C69" s="208"/>
      <c r="D69" s="208"/>
      <c r="E69" s="156">
        <f>MIN(H54:H65)</f>
        <v>139.427400463467</v>
      </c>
      <c r="F69" s="208" t="s">
        <v>27</v>
      </c>
      <c r="G69" s="208"/>
      <c r="H69" s="208"/>
      <c r="I69" s="208"/>
      <c r="J69" s="208"/>
      <c r="K69" s="157">
        <f>MIN(H65,H61,H60,H58)</f>
        <v>139.427400463467</v>
      </c>
      <c r="L69" s="155"/>
      <c r="M69" s="155"/>
      <c r="N69" s="155"/>
      <c r="O69" s="59"/>
      <c r="P69" s="158"/>
      <c r="Q69" s="158"/>
      <c r="R69" s="152"/>
    </row>
    <row r="70" spans="1:22" ht="13.15" customHeight="1" thickBot="1">
      <c r="A70" s="33"/>
      <c r="B70" s="209" t="s">
        <v>28</v>
      </c>
      <c r="C70" s="202"/>
      <c r="D70" s="202"/>
      <c r="E70" s="159">
        <f>MAX(H54:H65)</f>
        <v>2140.4335620021257</v>
      </c>
      <c r="F70" s="202" t="s">
        <v>28</v>
      </c>
      <c r="G70" s="202"/>
      <c r="H70" s="202"/>
      <c r="I70" s="202"/>
      <c r="J70" s="202"/>
      <c r="K70" s="160">
        <f>MAX(H65,H61,H60,H58)</f>
        <v>506.25</v>
      </c>
      <c r="L70" s="161"/>
      <c r="M70" s="155"/>
      <c r="N70" s="155"/>
      <c r="O70" s="162"/>
    </row>
    <row r="71" spans="1:22">
      <c r="L71" s="163"/>
      <c r="M71" s="163"/>
      <c r="N71" s="163"/>
      <c r="O71" s="162"/>
    </row>
  </sheetData>
  <sheetProtection password="CE14" sheet="1" objects="1" scenarios="1"/>
  <protectedRanges>
    <protectedRange sqref="S41 K30 K29 K25 K17:K19 K14:K15 K12 K9 K7" name="Intervallo1"/>
  </protectedRanges>
  <mergeCells count="22">
    <mergeCell ref="F70:J70"/>
    <mergeCell ref="B67:D67"/>
    <mergeCell ref="B68:D68"/>
    <mergeCell ref="B69:D69"/>
    <mergeCell ref="B70:D70"/>
    <mergeCell ref="F67:J67"/>
    <mergeCell ref="F68:J68"/>
    <mergeCell ref="F69:J69"/>
    <mergeCell ref="L65:N65"/>
    <mergeCell ref="L52:N52"/>
    <mergeCell ref="L54:N60"/>
    <mergeCell ref="L53:N53"/>
    <mergeCell ref="B2:K2"/>
    <mergeCell ref="B53:E53"/>
    <mergeCell ref="H52:K52"/>
    <mergeCell ref="L61:N64"/>
    <mergeCell ref="B51:J51"/>
    <mergeCell ref="B4:K4"/>
    <mergeCell ref="B33:K33"/>
    <mergeCell ref="B35:K35"/>
    <mergeCell ref="B5:K5"/>
    <mergeCell ref="B66:J66"/>
  </mergeCells>
  <phoneticPr fontId="2" type="noConversion"/>
  <printOptions horizontalCentered="1" verticalCentered="1" gridLinesSet="0"/>
  <pageMargins left="0.11811023622047245" right="0" top="0" bottom="0.27" header="0" footer="0"/>
  <pageSetup paperSize="9" scale="87" orientation="portrait" r:id="rId1"/>
  <headerFooter alignWithMargins="0">
    <oddFooter>&amp;CCopyright F.R.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Portata di piena</vt:lpstr>
      <vt:lpstr>'Portata di piena'!Area_stampa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delle precipitazioni nensili</dc:title>
  <dc:creator>Pinco Pallino</dc:creator>
  <cp:lastModifiedBy>Studio Ellerre</cp:lastModifiedBy>
  <cp:lastPrinted>2023-02-06T07:36:52Z</cp:lastPrinted>
  <dcterms:created xsi:type="dcterms:W3CDTF">2002-07-16T14:06:28Z</dcterms:created>
  <dcterms:modified xsi:type="dcterms:W3CDTF">2023-02-06T07:38:41Z</dcterms:modified>
</cp:coreProperties>
</file>